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075" windowHeight="11685" tabRatio="385" activeTab="0"/>
  </bookViews>
  <sheets>
    <sheet name="Calcolo Uw finestre esistenti" sheetId="1" r:id="rId1"/>
  </sheets>
  <definedNames/>
  <calcPr fullCalcOnLoad="1"/>
</workbook>
</file>

<file path=xl/comments1.xml><?xml version="1.0" encoding="utf-8"?>
<comments xmlns="http://schemas.openxmlformats.org/spreadsheetml/2006/main">
  <authors>
    <author>Autore</author>
  </authors>
  <commentList>
    <comment ref="A1" authorId="0">
      <text>
        <r>
          <rPr>
            <b/>
            <sz val="10"/>
            <rFont val="Tahoma"/>
            <family val="2"/>
          </rPr>
          <t xml:space="preserve">NOTE Autore:
</t>
        </r>
        <r>
          <rPr>
            <sz val="10"/>
            <rFont val="Tahoma"/>
            <family val="2"/>
          </rPr>
          <t xml:space="preserve">
Il foglio di calcolo proposto, può essere utilizzato per stimare velocemente i valori di trasmittanza termica Uw degli infissi, inserendo semplicemente le caratteristiche del telaio  e la tipologia del vetro del serramento esistente.
Riteniamo che tali stime possano essere utilizzate per indicare i valori di Uw da inserire nell’asseverazione del tecnico o in alternativa nella certificazione del produttore, in riferimento ai valori di trasmittanza termica degli infissi esistenti.
Il foglio di calcolo del valore Uw, fa riferimento ai prospetti F1 ed F2 della norma EN 10077-01:2007 - Allegato F.
Tali prospetti forniscono i valori caratteristici delle trasmittanze termiche per finestre, calcolati tramite il metodo esposto nella norma stessa, utilizzando le trasmittanze termiche lineari indicati nell'appendice E per i normali tipi di distanziatori per vetro in alluminio e in acciaio (prospetto E.1); 
I dati sono riferiti alle finestre ad un'anta, da 1,23 m per 1,48 m, con area del telaio equivalente,  al 30% e al 20% dell'area totale della finestra.</t>
        </r>
      </text>
    </comment>
  </commentList>
</comments>
</file>

<file path=xl/sharedStrings.xml><?xml version="1.0" encoding="utf-8"?>
<sst xmlns="http://schemas.openxmlformats.org/spreadsheetml/2006/main" count="48" uniqueCount="45">
  <si>
    <t>avvolgibile di legno e plastica senza schiuma</t>
  </si>
  <si>
    <t>media</t>
  </si>
  <si>
    <t>Trasmittanza termica Uw =</t>
  </si>
  <si>
    <t>Pvc a tre camere</t>
  </si>
  <si>
    <t>Alluminio senza taglio termico</t>
  </si>
  <si>
    <t>nessuna</t>
  </si>
  <si>
    <t>avvolgibile di alluminio</t>
  </si>
  <si>
    <t>avvogibile di legno e plastica con schiuma</t>
  </si>
  <si>
    <t>persiana di legno da 25 a 30 mm di spessore</t>
  </si>
  <si>
    <t>persiana di alluminio</t>
  </si>
  <si>
    <t>nessun valore considerabile</t>
  </si>
  <si>
    <t>molto elevata</t>
  </si>
  <si>
    <t>elevata</t>
  </si>
  <si>
    <t>bassa</t>
  </si>
  <si>
    <t>a tenuta</t>
  </si>
  <si>
    <t>Resistenza termica caratteristica Rsh:</t>
  </si>
  <si>
    <r>
      <t xml:space="preserve"> W/m</t>
    </r>
    <r>
      <rPr>
        <b/>
        <vertAlign val="superscript"/>
        <sz val="10"/>
        <rFont val="Arial"/>
        <family val="2"/>
      </rPr>
      <t>2</t>
    </r>
    <r>
      <rPr>
        <b/>
        <sz val="10"/>
        <rFont val="Arial"/>
        <family val="2"/>
      </rPr>
      <t>.°K</t>
    </r>
  </si>
  <si>
    <r>
      <t xml:space="preserve">Resistenza termica aggiuntiva </t>
    </r>
    <r>
      <rPr>
        <sz val="12"/>
        <rFont val="Symbol"/>
        <family val="1"/>
      </rPr>
      <t>D</t>
    </r>
    <r>
      <rPr>
        <sz val="12"/>
        <rFont val="Arial"/>
        <family val="2"/>
      </rPr>
      <t xml:space="preserve">R: </t>
    </r>
  </si>
  <si>
    <t>Tipo di materiale del telaio:</t>
  </si>
  <si>
    <t>Legno duro (rovere, mogano, iroko) spessore mm 50</t>
  </si>
  <si>
    <t>Legno duro (rovere, mogano, iroko) spessore mm 60</t>
  </si>
  <si>
    <t>Legno duro (rovere, mogano, iroko) spessore mm 70</t>
  </si>
  <si>
    <t>Legno tenero (pino,abete, larice, douglas, hemlock) mm 50</t>
  </si>
  <si>
    <t>Legno tenero (pino,abete, larice, douglas, hemlock) mm 60</t>
  </si>
  <si>
    <t>Legno tenero (pino,abete, larice, douglas, hemlock) mm 70</t>
  </si>
  <si>
    <t>vetrata singola</t>
  </si>
  <si>
    <t>vetrata 4-6-4</t>
  </si>
  <si>
    <t>vetrata 4-9-4</t>
  </si>
  <si>
    <t>vetrata 4-12-4</t>
  </si>
  <si>
    <t>Alluminio a taglio termico Uf = 3,8</t>
  </si>
  <si>
    <t>Alluminio a taglio termico Uf = 3,4</t>
  </si>
  <si>
    <t>Alluminio a taglio termico Uf = 3,0</t>
  </si>
  <si>
    <t>Alluminio a taglio termico Uf = 2,6</t>
  </si>
  <si>
    <t>Alluminio a taglio termico Uf = 2,2</t>
  </si>
  <si>
    <t>Valori Uf del telaio</t>
  </si>
  <si>
    <t>Pvc a due camere</t>
  </si>
  <si>
    <t>Valori Ug del vetro</t>
  </si>
  <si>
    <t>Tipo di vetrazione:</t>
  </si>
  <si>
    <t>% dell’area di telaio rispetto all’area dell’intera finestra:</t>
  </si>
  <si>
    <t>percentuale dell’area di telaio rispetto all’area dell’intera finestra:</t>
  </si>
  <si>
    <t>Risultato DR:</t>
  </si>
  <si>
    <t>Uw da tabella</t>
  </si>
  <si>
    <t>Calcolo Uw:</t>
  </si>
  <si>
    <r>
      <t xml:space="preserve">Risultato Uw: </t>
    </r>
    <r>
      <rPr>
        <sz val="10"/>
        <rFont val="Arial"/>
        <family val="2"/>
      </rPr>
      <t>____________________________________________________________________________________________________________________</t>
    </r>
  </si>
  <si>
    <t>Per calcolare la trasmittanza termica del serramento cliccare sulle celle evidenziate in giallo, scegliendo tra le opzioni proposte dal menu a tendina.</t>
  </si>
</sst>
</file>

<file path=xl/styles.xml><?xml version="1.0" encoding="utf-8"?>
<styleSheet xmlns="http://schemas.openxmlformats.org/spreadsheetml/2006/main">
  <numFmts count="6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
    <numFmt numFmtId="166" formatCode="0.0000"/>
    <numFmt numFmtId="167" formatCode="_-* #,##0.0_-;\-* #,##0.0_-;_-* &quot;-&quot;??_-;_-@_-"/>
    <numFmt numFmtId="168" formatCode="_-* #,##0.000_-;\-* #,##0.000_-;_-* &quot;-&quot;??_-;_-@_-"/>
    <numFmt numFmtId="169" formatCode="0.0000000"/>
    <numFmt numFmtId="170" formatCode="&quot;Rsh +&quot;\ 0.00"/>
    <numFmt numFmtId="171" formatCode="&quot;L.&quot;\ #,##0;\-&quot;L.&quot;\ #,##0"/>
    <numFmt numFmtId="172" formatCode="&quot;L.&quot;\ #,##0;[Red]\-&quot;L.&quot;\ #,##0"/>
    <numFmt numFmtId="173" formatCode="&quot;L.&quot;\ #,##0.00;\-&quot;L.&quot;\ #,##0.00"/>
    <numFmt numFmtId="174" formatCode="&quot;L.&quot;\ #,##0.00;[Red]\-&quot;L.&quot;\ #,##0.00"/>
    <numFmt numFmtId="175" formatCode="_-&quot;L.&quot;\ * #,##0_-;\-&quot;L.&quot;\ * #,##0_-;_-&quot;L.&quot;\ * &quot;-&quot;_-;_-@_-"/>
    <numFmt numFmtId="176" formatCode="_-&quot;L.&quot;\ * #,##0.00_-;\-&quot;L.&quot;\ * #,##0.00_-;_-&quot;L.&quot;\ * &quot;-&quot;??_-;_-@_-"/>
    <numFmt numFmtId="177" formatCode="##,##\ 0&quot; ° C&quot;\ "/>
    <numFmt numFmtId="178" formatCode="##,##0.00\ &quot; W/mqK&quot;\ "/>
    <numFmt numFmtId="179" formatCode="#,###.\ 0&quot; ° C&quot;\ "/>
    <numFmt numFmtId="180" formatCode="&quot;=&quot;\ "/>
    <numFmt numFmtId="181" formatCode="&quot;= &quot;\ ##,##0.000\ "/>
    <numFmt numFmtId="182" formatCode="&quot; =&quot;\ @"/>
    <numFmt numFmtId="183" formatCode="&quot;=&quot;\ #,###\ &quot; W&quot;\ "/>
    <numFmt numFmtId="184" formatCode="#,###\ &quot;°C&quot;"/>
    <numFmt numFmtId="185" formatCode="#,##0.0\ &quot;K&quot;"/>
    <numFmt numFmtId="186" formatCode="#,##0.0\ &quot;°C&quot;"/>
    <numFmt numFmtId="187" formatCode="##,##0\ &quot;%&quot;"/>
    <numFmt numFmtId="188" formatCode="##,##0.0\ &quot;°C&quot;"/>
    <numFmt numFmtId="189" formatCode="_-[$€-2]\ * #,##0_-;\-[$€-2]\ * #,##0_-;_-[$€-2]\ * &quot;-&quot;_-;_-@_-"/>
    <numFmt numFmtId="190" formatCode="_-[$€-2]\ * #,##0.0_-;\-[$€-2]\ * #,##0.0_-;_-[$€-2]\ * &quot;-&quot;_-;_-@_-"/>
    <numFmt numFmtId="191" formatCode="_-[$€-2]\ * #,##0.00_-;\-[$€-2]\ * #,##0.00_-;_-[$€-2]\ * &quot;-&quot;_-;_-@_-"/>
    <numFmt numFmtId="192" formatCode="&quot;Sì&quot;;&quot;Sì&quot;;&quot;No&quot;"/>
    <numFmt numFmtId="193" formatCode="&quot;Vero&quot;;&quot;Vero&quot;;&quot;Falso&quot;"/>
    <numFmt numFmtId="194" formatCode="&quot;Attivo&quot;;&quot;Attivo&quot;;&quot;Disattivo&quot;"/>
    <numFmt numFmtId="195" formatCode="&quot;&quot;"/>
    <numFmt numFmtId="196" formatCode="0.00000"/>
    <numFmt numFmtId="197" formatCode="0.000000"/>
    <numFmt numFmtId="198" formatCode="0.0%"/>
    <numFmt numFmtId="199" formatCode="_-* #,##0_-;\-* #,##0_-;_-* &quot;-&quot;??_-;_-@_-"/>
    <numFmt numFmtId="200" formatCode="_-* #,##0.0_-;\-* #,##0.0_-;_-* &quot;-&quot;?_-;_-@_-"/>
    <numFmt numFmtId="201" formatCode="#,###"/>
    <numFmt numFmtId="202" formatCode="0\ &quot;x&quot;"/>
    <numFmt numFmtId="203" formatCode="0\ &quot;)&quot;"/>
    <numFmt numFmtId="204" formatCode="0\ &quot; x&quot;"/>
    <numFmt numFmtId="205" formatCode="0&quot;)&quot;"/>
    <numFmt numFmtId="206" formatCode="0.000%"/>
    <numFmt numFmtId="207" formatCode="0.000\ &quot;mqk/W&quot;"/>
    <numFmt numFmtId="208" formatCode="0.000\ &quot;m2k/W&quot;"/>
    <numFmt numFmtId="209" formatCode="0.000\ &quot;Rsh    +&quot;"/>
    <numFmt numFmtId="210" formatCode="0.00\ &quot;Rsh  +&quot;"/>
    <numFmt numFmtId="211" formatCode="&quot;€&quot;#,##0_);\(&quot;€&quot;#,##0\)"/>
    <numFmt numFmtId="212" formatCode="&quot;€&quot;#,##0_);[Red]\(&quot;€&quot;#,##0\)"/>
    <numFmt numFmtId="213" formatCode="&quot;€&quot;#,##0.00_);\(&quot;€&quot;#,##0.00\)"/>
    <numFmt numFmtId="214" formatCode="&quot;€&quot;#,##0.00_);[Red]\(&quot;€&quot;#,##0.00\)"/>
    <numFmt numFmtId="215" formatCode="_(&quot;€&quot;* #,##0_);_(&quot;€&quot;* \(#,##0\);_(&quot;€&quot;* &quot;-&quot;_);_(@_)"/>
    <numFmt numFmtId="216" formatCode="_(* #,##0_);_(* \(#,##0\);_(* &quot;-&quot;_);_(@_)"/>
    <numFmt numFmtId="217" formatCode="_(&quot;€&quot;* #,##0.00_);_(&quot;€&quot;* \(#,##0.00\);_(&quot;€&quot;* &quot;-&quot;??_);_(@_)"/>
    <numFmt numFmtId="218" formatCode="_(* #,##0.00_);_(* \(#,##0.00\);_(* &quot;-&quot;??_);_(@_)"/>
    <numFmt numFmtId="219" formatCode="_-* #,##0.0000_-;\-* #,##0.0000_-;_-* &quot;-&quot;??_-;_-@_-"/>
    <numFmt numFmtId="220" formatCode="_-* #,##0.00000_-;\-* #,##0.00000_-;_-* &quot;-&quot;??_-;_-@_-"/>
    <numFmt numFmtId="221" formatCode="_-* #,##0.000000_-;\-* #,##0.000000_-;_-* &quot;-&quot;??_-;_-@_-"/>
    <numFmt numFmtId="222" formatCode="_-* #,##0.000_-;\-* #,##0.000_-;_-* &quot;-&quot;???_-;_-@_-"/>
    <numFmt numFmtId="223" formatCode="[$-410]dddd\ d\ mmmm\ yyyy"/>
    <numFmt numFmtId="224" formatCode="h\.mm\.ss"/>
  </numFmts>
  <fonts count="23">
    <font>
      <sz val="10"/>
      <name val="Arial"/>
      <family val="0"/>
    </font>
    <font>
      <u val="single"/>
      <sz val="7.5"/>
      <color indexed="12"/>
      <name val="Arial"/>
      <family val="0"/>
    </font>
    <font>
      <u val="single"/>
      <sz val="10"/>
      <color indexed="36"/>
      <name val="Arial"/>
      <family val="0"/>
    </font>
    <font>
      <b/>
      <sz val="12"/>
      <color indexed="9"/>
      <name val="Arial"/>
      <family val="2"/>
    </font>
    <font>
      <b/>
      <sz val="10"/>
      <name val="Arial"/>
      <family val="2"/>
    </font>
    <font>
      <b/>
      <sz val="12"/>
      <name val="Arial"/>
      <family val="2"/>
    </font>
    <font>
      <b/>
      <sz val="11"/>
      <name val="Arial"/>
      <family val="2"/>
    </font>
    <font>
      <b/>
      <sz val="14"/>
      <name val="Arial"/>
      <family val="2"/>
    </font>
    <font>
      <sz val="14"/>
      <name val="Arial"/>
      <family val="0"/>
    </font>
    <font>
      <b/>
      <vertAlign val="superscript"/>
      <sz val="10"/>
      <name val="Arial"/>
      <family val="2"/>
    </font>
    <font>
      <sz val="14"/>
      <color indexed="10"/>
      <name val="Arial"/>
      <family val="2"/>
    </font>
    <font>
      <sz val="12"/>
      <name val="Arial"/>
      <family val="2"/>
    </font>
    <font>
      <sz val="12"/>
      <name val="Symbol"/>
      <family val="1"/>
    </font>
    <font>
      <sz val="10"/>
      <color indexed="10"/>
      <name val="Arial"/>
      <family val="2"/>
    </font>
    <font>
      <sz val="10"/>
      <color indexed="12"/>
      <name val="Arial"/>
      <family val="2"/>
    </font>
    <font>
      <sz val="10"/>
      <color indexed="17"/>
      <name val="Arial"/>
      <family val="2"/>
    </font>
    <font>
      <b/>
      <sz val="10"/>
      <color indexed="10"/>
      <name val="Arial"/>
      <family val="2"/>
    </font>
    <font>
      <b/>
      <sz val="10"/>
      <color indexed="12"/>
      <name val="Arial"/>
      <family val="2"/>
    </font>
    <font>
      <b/>
      <sz val="10"/>
      <color indexed="17"/>
      <name val="Arial"/>
      <family val="2"/>
    </font>
    <font>
      <sz val="8"/>
      <name val="Tahoma"/>
      <family val="2"/>
    </font>
    <font>
      <b/>
      <sz val="10"/>
      <name val="Tahoma"/>
      <family val="2"/>
    </font>
    <font>
      <sz val="10"/>
      <name val="Tahoma"/>
      <family val="2"/>
    </font>
    <font>
      <b/>
      <sz val="8"/>
      <name val="Arial"/>
      <family val="2"/>
    </font>
  </fonts>
  <fills count="5">
    <fill>
      <patternFill/>
    </fill>
    <fill>
      <patternFill patternType="gray125"/>
    </fill>
    <fill>
      <patternFill patternType="solid">
        <fgColor indexed="9"/>
        <bgColor indexed="64"/>
      </patternFill>
    </fill>
    <fill>
      <patternFill patternType="solid">
        <fgColor indexed="12"/>
        <bgColor indexed="64"/>
      </patternFill>
    </fill>
    <fill>
      <patternFill patternType="solid">
        <fgColor indexed="13"/>
        <bgColor indexed="64"/>
      </patternFill>
    </fill>
  </fills>
  <borders count="17">
    <border>
      <left/>
      <right/>
      <top/>
      <bottom/>
      <diagonal/>
    </border>
    <border>
      <left style="thin"/>
      <right>
        <color indexed="63"/>
      </right>
      <top style="thin"/>
      <bottom style="thin"/>
    </border>
    <border>
      <left>
        <color indexed="63"/>
      </left>
      <right>
        <color indexed="63"/>
      </right>
      <top style="thin"/>
      <bottom style="thin"/>
    </border>
    <border>
      <left style="thin"/>
      <right>
        <color indexed="63"/>
      </right>
      <top style="thin"/>
      <bottom style="hair"/>
    </border>
    <border>
      <left style="thin"/>
      <right>
        <color indexed="63"/>
      </right>
      <top style="hair"/>
      <bottom style="thin"/>
    </border>
    <border>
      <left>
        <color indexed="63"/>
      </left>
      <right style="thin"/>
      <top style="thin"/>
      <bottom style="thin"/>
    </border>
    <border>
      <left style="thin"/>
      <right>
        <color indexed="63"/>
      </right>
      <top style="hair"/>
      <bottom style="hair"/>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0">
    <xf numFmtId="0" fontId="0" fillId="0" borderId="0" xfId="0" applyAlignment="1">
      <alignment/>
    </xf>
    <xf numFmtId="0" fontId="0" fillId="0" borderId="0" xfId="0" applyFont="1" applyFill="1" applyAlignment="1" applyProtection="1">
      <alignment/>
      <protection hidden="1"/>
    </xf>
    <xf numFmtId="0" fontId="0" fillId="0" borderId="0" xfId="0" applyFont="1" applyFill="1" applyAlignment="1" applyProtection="1">
      <alignment/>
      <protection hidden="1"/>
    </xf>
    <xf numFmtId="0" fontId="0" fillId="0" borderId="0" xfId="0" applyFill="1" applyAlignment="1" applyProtection="1">
      <alignment/>
      <protection hidden="1"/>
    </xf>
    <xf numFmtId="0" fontId="0" fillId="0" borderId="0" xfId="0" applyAlignment="1" applyProtection="1">
      <alignment/>
      <protection hidden="1"/>
    </xf>
    <xf numFmtId="0" fontId="0" fillId="0" borderId="0" xfId="0" applyFont="1" applyFill="1" applyAlignment="1" applyProtection="1">
      <alignment vertical="center"/>
      <protection hidden="1"/>
    </xf>
    <xf numFmtId="0" fontId="0" fillId="0" borderId="0" xfId="0" applyAlignment="1" applyProtection="1">
      <alignment vertical="center"/>
      <protection hidden="1"/>
    </xf>
    <xf numFmtId="200" fontId="0" fillId="0" borderId="0" xfId="0" applyNumberFormat="1" applyFont="1" applyFill="1" applyAlignment="1" applyProtection="1">
      <alignment/>
      <protection hidden="1"/>
    </xf>
    <xf numFmtId="0" fontId="0" fillId="0" borderId="0" xfId="0" applyFont="1" applyFill="1" applyAlignment="1" applyProtection="1">
      <alignment vertical="center"/>
      <protection hidden="1"/>
    </xf>
    <xf numFmtId="0" fontId="0" fillId="0" borderId="0" xfId="0" applyFill="1" applyAlignment="1" applyProtection="1">
      <alignment vertical="center"/>
      <protection hidden="1"/>
    </xf>
    <xf numFmtId="0" fontId="0" fillId="0" borderId="0" xfId="0" applyFont="1" applyAlignment="1" applyProtection="1">
      <alignment vertical="center"/>
      <protection hidden="1"/>
    </xf>
    <xf numFmtId="0" fontId="0" fillId="0" borderId="0" xfId="0" applyFont="1" applyFill="1" applyBorder="1" applyAlignment="1" applyProtection="1">
      <alignment vertical="center"/>
      <protection hidden="1"/>
    </xf>
    <xf numFmtId="0" fontId="11" fillId="0" borderId="0" xfId="0" applyNumberFormat="1" applyFont="1" applyFill="1" applyBorder="1" applyAlignment="1" applyProtection="1">
      <alignment horizontal="left" vertical="center"/>
      <protection hidden="1"/>
    </xf>
    <xf numFmtId="170" fontId="11" fillId="0" borderId="0" xfId="0" applyNumberFormat="1" applyFont="1" applyFill="1" applyBorder="1" applyAlignment="1" applyProtection="1">
      <alignment horizontal="left" vertical="center"/>
      <protection hidden="1"/>
    </xf>
    <xf numFmtId="0" fontId="10" fillId="0" borderId="0" xfId="0" applyNumberFormat="1" applyFont="1" applyFill="1" applyBorder="1" applyAlignment="1" applyProtection="1">
      <alignment horizontal="left" vertical="center"/>
      <protection hidden="1"/>
    </xf>
    <xf numFmtId="165" fontId="0" fillId="0" borderId="0" xfId="0" applyNumberFormat="1" applyFont="1" applyFill="1" applyAlignment="1" applyProtection="1">
      <alignment/>
      <protection hidden="1"/>
    </xf>
    <xf numFmtId="165" fontId="0" fillId="0" borderId="0" xfId="0" applyNumberFormat="1" applyFont="1" applyFill="1" applyBorder="1" applyAlignment="1" applyProtection="1">
      <alignment vertical="center"/>
      <protection hidden="1"/>
    </xf>
    <xf numFmtId="9" fontId="4" fillId="0" borderId="0" xfId="0" applyNumberFormat="1" applyFont="1" applyFill="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4" fillId="0" borderId="0" xfId="0" applyFont="1" applyFill="1" applyBorder="1" applyAlignment="1" applyProtection="1">
      <alignment horizontal="center" vertical="center" wrapText="1"/>
      <protection hidden="1"/>
    </xf>
    <xf numFmtId="9" fontId="0" fillId="0" borderId="0" xfId="0" applyNumberFormat="1" applyFont="1" applyFill="1" applyAlignment="1" applyProtection="1">
      <alignment/>
      <protection hidden="1"/>
    </xf>
    <xf numFmtId="2" fontId="0" fillId="0" borderId="0" xfId="0" applyNumberFormat="1" applyFont="1" applyFill="1" applyBorder="1" applyAlignment="1" applyProtection="1">
      <alignment vertical="center"/>
      <protection hidden="1"/>
    </xf>
    <xf numFmtId="0" fontId="7" fillId="2" borderId="1" xfId="0" applyFont="1" applyFill="1" applyBorder="1" applyAlignment="1" applyProtection="1">
      <alignment horizontal="left" vertical="center"/>
      <protection hidden="1"/>
    </xf>
    <xf numFmtId="0" fontId="8" fillId="2" borderId="2" xfId="0" applyFont="1" applyFill="1" applyBorder="1" applyAlignment="1" applyProtection="1">
      <alignment horizontal="left"/>
      <protection hidden="1"/>
    </xf>
    <xf numFmtId="0" fontId="5" fillId="2" borderId="3" xfId="0" applyFont="1" applyFill="1" applyBorder="1" applyAlignment="1" applyProtection="1">
      <alignment vertical="center"/>
      <protection hidden="1"/>
    </xf>
    <xf numFmtId="0" fontId="5" fillId="2" borderId="4" xfId="0" applyFont="1" applyFill="1" applyBorder="1" applyAlignment="1" applyProtection="1">
      <alignment vertical="center" wrapText="1"/>
      <protection hidden="1"/>
    </xf>
    <xf numFmtId="0" fontId="8" fillId="2" borderId="2" xfId="0" applyFont="1" applyFill="1" applyBorder="1" applyAlignment="1" applyProtection="1">
      <alignment horizontal="center" vertical="center"/>
      <protection hidden="1" locked="0"/>
    </xf>
    <xf numFmtId="0" fontId="4" fillId="2" borderId="2" xfId="0" applyFont="1" applyFill="1" applyBorder="1" applyAlignment="1" applyProtection="1">
      <alignment vertical="center"/>
      <protection hidden="1"/>
    </xf>
    <xf numFmtId="0" fontId="0" fillId="0" borderId="5" xfId="0" applyFont="1" applyFill="1" applyBorder="1" applyAlignment="1" applyProtection="1">
      <alignment/>
      <protection hidden="1"/>
    </xf>
    <xf numFmtId="0" fontId="5" fillId="2" borderId="6" xfId="0" applyFont="1" applyFill="1" applyBorder="1" applyAlignment="1" applyProtection="1">
      <alignment vertical="center" wrapText="1"/>
      <protection hidden="1"/>
    </xf>
    <xf numFmtId="0" fontId="0" fillId="0" borderId="0" xfId="0" applyFont="1" applyFill="1" applyBorder="1" applyAlignment="1" applyProtection="1">
      <alignment/>
      <protection hidden="1"/>
    </xf>
    <xf numFmtId="0" fontId="4" fillId="0" borderId="0" xfId="0" applyFont="1" applyFill="1" applyBorder="1" applyAlignment="1" applyProtection="1">
      <alignment horizontal="center" vertical="center"/>
      <protection hidden="1"/>
    </xf>
    <xf numFmtId="2" fontId="0" fillId="0" borderId="0" xfId="0" applyNumberFormat="1" applyFont="1" applyFill="1" applyAlignment="1" applyProtection="1">
      <alignment/>
      <protection hidden="1"/>
    </xf>
    <xf numFmtId="2" fontId="13" fillId="0" borderId="0" xfId="0" applyNumberFormat="1" applyFont="1" applyFill="1" applyBorder="1" applyAlignment="1" applyProtection="1">
      <alignment vertical="center"/>
      <protection hidden="1"/>
    </xf>
    <xf numFmtId="0" fontId="13" fillId="0" borderId="0" xfId="0" applyFont="1" applyFill="1" applyAlignment="1" applyProtection="1">
      <alignment/>
      <protection hidden="1"/>
    </xf>
    <xf numFmtId="2" fontId="13" fillId="0" borderId="0" xfId="0" applyNumberFormat="1" applyFont="1" applyFill="1" applyAlignment="1" applyProtection="1">
      <alignment/>
      <protection hidden="1"/>
    </xf>
    <xf numFmtId="2" fontId="14" fillId="0" borderId="0" xfId="0" applyNumberFormat="1" applyFont="1" applyFill="1" applyBorder="1" applyAlignment="1" applyProtection="1">
      <alignment vertical="center"/>
      <protection hidden="1"/>
    </xf>
    <xf numFmtId="0" fontId="14" fillId="0" borderId="0" xfId="0" applyFont="1" applyFill="1" applyAlignment="1" applyProtection="1">
      <alignment/>
      <protection hidden="1"/>
    </xf>
    <xf numFmtId="2" fontId="14" fillId="0" borderId="0" xfId="0" applyNumberFormat="1" applyFont="1" applyFill="1" applyAlignment="1" applyProtection="1">
      <alignment/>
      <protection hidden="1"/>
    </xf>
    <xf numFmtId="2" fontId="15" fillId="0" borderId="0" xfId="0" applyNumberFormat="1" applyFont="1" applyFill="1" applyBorder="1" applyAlignment="1" applyProtection="1">
      <alignment vertical="center"/>
      <protection hidden="1"/>
    </xf>
    <xf numFmtId="0" fontId="15" fillId="0" borderId="0" xfId="0" applyFont="1" applyFill="1" applyAlignment="1" applyProtection="1">
      <alignment/>
      <protection hidden="1"/>
    </xf>
    <xf numFmtId="2" fontId="15" fillId="0" borderId="0" xfId="0" applyNumberFormat="1" applyFont="1" applyFill="1" applyAlignment="1" applyProtection="1">
      <alignment/>
      <protection hidden="1"/>
    </xf>
    <xf numFmtId="165" fontId="13" fillId="0" borderId="0" xfId="0" applyNumberFormat="1" applyFont="1" applyFill="1" applyBorder="1" applyAlignment="1" applyProtection="1">
      <alignment vertical="center"/>
      <protection hidden="1"/>
    </xf>
    <xf numFmtId="165" fontId="14" fillId="0" borderId="0" xfId="0" applyNumberFormat="1" applyFont="1" applyFill="1" applyBorder="1" applyAlignment="1" applyProtection="1">
      <alignment vertical="center"/>
      <protection hidden="1"/>
    </xf>
    <xf numFmtId="165" fontId="15" fillId="0" borderId="0" xfId="0" applyNumberFormat="1" applyFont="1" applyFill="1" applyBorder="1" applyAlignment="1" applyProtection="1">
      <alignment vertical="center"/>
      <protection hidden="1"/>
    </xf>
    <xf numFmtId="165" fontId="4" fillId="0" borderId="0" xfId="0" applyNumberFormat="1" applyFont="1" applyFill="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4" fillId="0" borderId="0" xfId="0" applyFont="1" applyFill="1" applyBorder="1" applyAlignment="1" applyProtection="1">
      <alignment horizontal="left" vertical="center"/>
      <protection hidden="1"/>
    </xf>
    <xf numFmtId="49" fontId="4" fillId="0" borderId="0" xfId="0" applyNumberFormat="1" applyFont="1" applyFill="1" applyBorder="1" applyAlignment="1" applyProtection="1">
      <alignment horizontal="center" vertical="center"/>
      <protection hidden="1"/>
    </xf>
    <xf numFmtId="2" fontId="4" fillId="0" borderId="0" xfId="0" applyNumberFormat="1" applyFont="1" applyFill="1" applyAlignment="1" applyProtection="1">
      <alignment/>
      <protection hidden="1"/>
    </xf>
    <xf numFmtId="0" fontId="4" fillId="0" borderId="7" xfId="0" applyFont="1" applyFill="1" applyBorder="1" applyAlignment="1" applyProtection="1">
      <alignment horizontal="center"/>
      <protection hidden="1"/>
    </xf>
    <xf numFmtId="2" fontId="4" fillId="0" borderId="7" xfId="0" applyNumberFormat="1" applyFont="1" applyFill="1" applyBorder="1" applyAlignment="1" applyProtection="1">
      <alignment vertical="center"/>
      <protection hidden="1"/>
    </xf>
    <xf numFmtId="2" fontId="16" fillId="0" borderId="7" xfId="0" applyNumberFormat="1" applyFont="1" applyFill="1" applyBorder="1" applyAlignment="1" applyProtection="1">
      <alignment vertical="center"/>
      <protection hidden="1"/>
    </xf>
    <xf numFmtId="2" fontId="17" fillId="0" borderId="7" xfId="0" applyNumberFormat="1" applyFont="1" applyFill="1" applyBorder="1" applyAlignment="1" applyProtection="1">
      <alignment vertical="center"/>
      <protection hidden="1"/>
    </xf>
    <xf numFmtId="2" fontId="18" fillId="0" borderId="7" xfId="0" applyNumberFormat="1" applyFont="1" applyFill="1" applyBorder="1" applyAlignment="1" applyProtection="1">
      <alignment vertical="center"/>
      <protection hidden="1"/>
    </xf>
    <xf numFmtId="0" fontId="4" fillId="0" borderId="0" xfId="0" applyFont="1" applyFill="1" applyAlignment="1" applyProtection="1">
      <alignment/>
      <protection hidden="1"/>
    </xf>
    <xf numFmtId="43" fontId="7" fillId="2" borderId="2" xfId="17" applyNumberFormat="1" applyFont="1" applyFill="1" applyBorder="1" applyAlignment="1" applyProtection="1">
      <alignment horizontal="center" vertical="center"/>
      <protection hidden="1"/>
    </xf>
    <xf numFmtId="0" fontId="3" fillId="3" borderId="8" xfId="0" applyFont="1" applyFill="1" applyBorder="1" applyAlignment="1" applyProtection="1">
      <alignment horizontal="justify" vertical="center" wrapText="1"/>
      <protection hidden="1"/>
    </xf>
    <xf numFmtId="0" fontId="3" fillId="3" borderId="9" xfId="0" applyFont="1" applyFill="1" applyBorder="1" applyAlignment="1" applyProtection="1">
      <alignment horizontal="justify" vertical="center" wrapText="1"/>
      <protection hidden="1"/>
    </xf>
    <xf numFmtId="0" fontId="0" fillId="0" borderId="9" xfId="0" applyBorder="1" applyAlignment="1" applyProtection="1">
      <alignment wrapText="1"/>
      <protection hidden="1"/>
    </xf>
    <xf numFmtId="0" fontId="0" fillId="0" borderId="10" xfId="0" applyBorder="1" applyAlignment="1" applyProtection="1">
      <alignment wrapText="1"/>
      <protection hidden="1"/>
    </xf>
    <xf numFmtId="0" fontId="6" fillId="4" borderId="11" xfId="0" applyFont="1" applyFill="1" applyBorder="1" applyAlignment="1" applyProtection="1">
      <alignment horizontal="center" vertical="center" wrapText="1"/>
      <protection hidden="1" locked="0"/>
    </xf>
    <xf numFmtId="0" fontId="0" fillId="0" borderId="11" xfId="0" applyBorder="1" applyAlignment="1">
      <alignment horizontal="center" wrapText="1"/>
    </xf>
    <xf numFmtId="0" fontId="0" fillId="0" borderId="12" xfId="0" applyBorder="1" applyAlignment="1">
      <alignment horizontal="center" wrapText="1"/>
    </xf>
    <xf numFmtId="0" fontId="6" fillId="4" borderId="13" xfId="0" applyFont="1" applyFill="1" applyBorder="1" applyAlignment="1" applyProtection="1">
      <alignment horizontal="center" vertical="center" wrapText="1"/>
      <protection hidden="1" locked="0"/>
    </xf>
    <xf numFmtId="0" fontId="0" fillId="0" borderId="13" xfId="0" applyBorder="1" applyAlignment="1">
      <alignment horizontal="center" wrapText="1"/>
    </xf>
    <xf numFmtId="0" fontId="0" fillId="0" borderId="14" xfId="0" applyBorder="1" applyAlignment="1">
      <alignment horizontal="center" wrapText="1"/>
    </xf>
    <xf numFmtId="9" fontId="6" fillId="4" borderId="15" xfId="0" applyNumberFormat="1" applyFont="1" applyFill="1" applyBorder="1" applyAlignment="1" applyProtection="1">
      <alignment horizontal="center" vertical="center" wrapText="1"/>
      <protection hidden="1" locked="0"/>
    </xf>
    <xf numFmtId="0" fontId="0" fillId="0" borderId="15" xfId="0" applyBorder="1" applyAlignment="1">
      <alignment horizontal="center" wrapText="1"/>
    </xf>
    <xf numFmtId="0" fontId="0" fillId="0" borderId="16" xfId="0" applyBorder="1" applyAlignment="1">
      <alignment horizontal="center" wrapText="1"/>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xdr:col>
      <xdr:colOff>0</xdr:colOff>
      <xdr:row>4</xdr:row>
      <xdr:rowOff>0</xdr:rowOff>
    </xdr:to>
    <xdr:sp>
      <xdr:nvSpPr>
        <xdr:cNvPr id="1" name="Testo 286"/>
        <xdr:cNvSpPr txBox="1">
          <a:spLocks noChangeArrowheads="1"/>
        </xdr:cNvSpPr>
      </xdr:nvSpPr>
      <xdr:spPr>
        <a:xfrm>
          <a:off x="2571750" y="1895475"/>
          <a:ext cx="0" cy="0"/>
        </a:xfrm>
        <a:prstGeom prst="rect">
          <a:avLst/>
        </a:prstGeom>
        <a:noFill/>
        <a:ln w="1" cmpd="sng">
          <a:noFill/>
        </a:ln>
      </xdr:spPr>
      <xdr:txBody>
        <a:bodyPr vertOverflow="clip" wrap="square" anchor="ctr"/>
        <a:p>
          <a:pPr algn="ctr">
            <a:defRPr/>
          </a:pPr>
          <a:r>
            <a:rPr lang="en-US" cap="none" sz="1000" b="1" i="0" u="none" baseline="0">
              <a:latin typeface="Arial"/>
              <a:ea typeface="Arial"/>
              <a:cs typeface="Arial"/>
            </a:rPr>
            <a:t>A</a:t>
          </a:r>
        </a:p>
      </xdr:txBody>
    </xdr:sp>
    <xdr:clientData/>
  </xdr:twoCellAnchor>
  <xdr:twoCellAnchor>
    <xdr:from>
      <xdr:col>1</xdr:col>
      <xdr:colOff>0</xdr:colOff>
      <xdr:row>4</xdr:row>
      <xdr:rowOff>0</xdr:rowOff>
    </xdr:from>
    <xdr:to>
      <xdr:col>1</xdr:col>
      <xdr:colOff>0</xdr:colOff>
      <xdr:row>4</xdr:row>
      <xdr:rowOff>0</xdr:rowOff>
    </xdr:to>
    <xdr:sp>
      <xdr:nvSpPr>
        <xdr:cNvPr id="2" name="Testo 287"/>
        <xdr:cNvSpPr txBox="1">
          <a:spLocks noChangeArrowheads="1"/>
        </xdr:cNvSpPr>
      </xdr:nvSpPr>
      <xdr:spPr>
        <a:xfrm>
          <a:off x="2571750" y="1895475"/>
          <a:ext cx="0" cy="0"/>
        </a:xfrm>
        <a:prstGeom prst="rect">
          <a:avLst/>
        </a:prstGeom>
        <a:noFill/>
        <a:ln w="1" cmpd="sng">
          <a:noFill/>
        </a:ln>
      </xdr:spPr>
      <xdr:txBody>
        <a:bodyPr vertOverflow="clip" wrap="square" anchor="ctr"/>
        <a:p>
          <a:pPr algn="ctr">
            <a:defRPr/>
          </a:pPr>
          <a:r>
            <a:rPr lang="en-US" cap="none" sz="1000" b="1" i="0" u="none" baseline="0">
              <a:latin typeface="Arial"/>
              <a:ea typeface="Arial"/>
              <a:cs typeface="Arial"/>
            </a:rPr>
            <a:t>A</a:t>
          </a:r>
        </a:p>
      </xdr:txBody>
    </xdr:sp>
    <xdr:clientData/>
  </xdr:twoCellAnchor>
  <xdr:twoCellAnchor>
    <xdr:from>
      <xdr:col>1</xdr:col>
      <xdr:colOff>0</xdr:colOff>
      <xdr:row>4</xdr:row>
      <xdr:rowOff>0</xdr:rowOff>
    </xdr:from>
    <xdr:to>
      <xdr:col>1</xdr:col>
      <xdr:colOff>0</xdr:colOff>
      <xdr:row>4</xdr:row>
      <xdr:rowOff>0</xdr:rowOff>
    </xdr:to>
    <xdr:sp>
      <xdr:nvSpPr>
        <xdr:cNvPr id="3" name="Testo 288"/>
        <xdr:cNvSpPr txBox="1">
          <a:spLocks noChangeArrowheads="1"/>
        </xdr:cNvSpPr>
      </xdr:nvSpPr>
      <xdr:spPr>
        <a:xfrm>
          <a:off x="2571750" y="1895475"/>
          <a:ext cx="0" cy="0"/>
        </a:xfrm>
        <a:prstGeom prst="rect">
          <a:avLst/>
        </a:prstGeom>
        <a:noFill/>
        <a:ln w="1" cmpd="sng">
          <a:noFill/>
        </a:ln>
      </xdr:spPr>
      <xdr:txBody>
        <a:bodyPr vertOverflow="clip" wrap="square" anchor="ctr"/>
        <a:p>
          <a:pPr algn="ctr">
            <a:defRPr/>
          </a:pPr>
          <a:r>
            <a:rPr lang="en-US" cap="none" sz="1000" b="1" i="0" u="none" baseline="0">
              <a:latin typeface="Arial"/>
              <a:ea typeface="Arial"/>
              <a:cs typeface="Arial"/>
            </a:rPr>
            <a:t>C
</a:t>
          </a:r>
        </a:p>
      </xdr:txBody>
    </xdr:sp>
    <xdr:clientData/>
  </xdr:twoCellAnchor>
  <xdr:twoCellAnchor>
    <xdr:from>
      <xdr:col>1</xdr:col>
      <xdr:colOff>0</xdr:colOff>
      <xdr:row>4</xdr:row>
      <xdr:rowOff>0</xdr:rowOff>
    </xdr:from>
    <xdr:to>
      <xdr:col>1</xdr:col>
      <xdr:colOff>0</xdr:colOff>
      <xdr:row>4</xdr:row>
      <xdr:rowOff>0</xdr:rowOff>
    </xdr:to>
    <xdr:sp>
      <xdr:nvSpPr>
        <xdr:cNvPr id="4" name="Testo 289"/>
        <xdr:cNvSpPr txBox="1">
          <a:spLocks noChangeArrowheads="1"/>
        </xdr:cNvSpPr>
      </xdr:nvSpPr>
      <xdr:spPr>
        <a:xfrm>
          <a:off x="2571750" y="1895475"/>
          <a:ext cx="0" cy="0"/>
        </a:xfrm>
        <a:prstGeom prst="rect">
          <a:avLst/>
        </a:prstGeom>
        <a:noFill/>
        <a:ln w="1" cmpd="sng">
          <a:noFill/>
        </a:ln>
      </xdr:spPr>
      <xdr:txBody>
        <a:bodyPr vertOverflow="clip" wrap="square" anchor="ctr"/>
        <a:p>
          <a:pPr algn="ctr">
            <a:defRPr/>
          </a:pPr>
          <a:r>
            <a:rPr lang="en-US" cap="none" sz="1000" b="1" i="0" u="none" baseline="0">
              <a:latin typeface="Arial"/>
              <a:ea typeface="Arial"/>
              <a:cs typeface="Arial"/>
            </a:rPr>
            <a:t>D
</a:t>
          </a:r>
        </a:p>
      </xdr:txBody>
    </xdr:sp>
    <xdr:clientData/>
  </xdr:twoCellAnchor>
  <xdr:twoCellAnchor>
    <xdr:from>
      <xdr:col>1</xdr:col>
      <xdr:colOff>0</xdr:colOff>
      <xdr:row>4</xdr:row>
      <xdr:rowOff>0</xdr:rowOff>
    </xdr:from>
    <xdr:to>
      <xdr:col>1</xdr:col>
      <xdr:colOff>0</xdr:colOff>
      <xdr:row>4</xdr:row>
      <xdr:rowOff>0</xdr:rowOff>
    </xdr:to>
    <xdr:sp>
      <xdr:nvSpPr>
        <xdr:cNvPr id="5" name="Line 5"/>
        <xdr:cNvSpPr>
          <a:spLocks/>
        </xdr:cNvSpPr>
      </xdr:nvSpPr>
      <xdr:spPr>
        <a:xfrm flipV="1">
          <a:off x="2571750" y="18954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xdr:row>
      <xdr:rowOff>0</xdr:rowOff>
    </xdr:from>
    <xdr:to>
      <xdr:col>1</xdr:col>
      <xdr:colOff>0</xdr:colOff>
      <xdr:row>4</xdr:row>
      <xdr:rowOff>0</xdr:rowOff>
    </xdr:to>
    <xdr:sp>
      <xdr:nvSpPr>
        <xdr:cNvPr id="6" name="Line 6"/>
        <xdr:cNvSpPr>
          <a:spLocks/>
        </xdr:cNvSpPr>
      </xdr:nvSpPr>
      <xdr:spPr>
        <a:xfrm flipV="1">
          <a:off x="2571750" y="18954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xdr:row>
      <xdr:rowOff>0</xdr:rowOff>
    </xdr:from>
    <xdr:to>
      <xdr:col>1</xdr:col>
      <xdr:colOff>0</xdr:colOff>
      <xdr:row>4</xdr:row>
      <xdr:rowOff>0</xdr:rowOff>
    </xdr:to>
    <xdr:sp>
      <xdr:nvSpPr>
        <xdr:cNvPr id="7" name="Line 7"/>
        <xdr:cNvSpPr>
          <a:spLocks/>
        </xdr:cNvSpPr>
      </xdr:nvSpPr>
      <xdr:spPr>
        <a:xfrm>
          <a:off x="2571750" y="18954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xdr:row>
      <xdr:rowOff>0</xdr:rowOff>
    </xdr:from>
    <xdr:to>
      <xdr:col>1</xdr:col>
      <xdr:colOff>0</xdr:colOff>
      <xdr:row>4</xdr:row>
      <xdr:rowOff>0</xdr:rowOff>
    </xdr:to>
    <xdr:sp>
      <xdr:nvSpPr>
        <xdr:cNvPr id="8" name="Line 8"/>
        <xdr:cNvSpPr>
          <a:spLocks/>
        </xdr:cNvSpPr>
      </xdr:nvSpPr>
      <xdr:spPr>
        <a:xfrm flipH="1">
          <a:off x="2571750" y="18954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xdr:row>
      <xdr:rowOff>0</xdr:rowOff>
    </xdr:from>
    <xdr:to>
      <xdr:col>1</xdr:col>
      <xdr:colOff>0</xdr:colOff>
      <xdr:row>4</xdr:row>
      <xdr:rowOff>0</xdr:rowOff>
    </xdr:to>
    <xdr:sp>
      <xdr:nvSpPr>
        <xdr:cNvPr id="9" name="Line 9"/>
        <xdr:cNvSpPr>
          <a:spLocks/>
        </xdr:cNvSpPr>
      </xdr:nvSpPr>
      <xdr:spPr>
        <a:xfrm flipV="1">
          <a:off x="2571750" y="18954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xdr:row>
      <xdr:rowOff>0</xdr:rowOff>
    </xdr:from>
    <xdr:to>
      <xdr:col>1</xdr:col>
      <xdr:colOff>0</xdr:colOff>
      <xdr:row>4</xdr:row>
      <xdr:rowOff>0</xdr:rowOff>
    </xdr:to>
    <xdr:sp>
      <xdr:nvSpPr>
        <xdr:cNvPr id="10" name="Line 10"/>
        <xdr:cNvSpPr>
          <a:spLocks/>
        </xdr:cNvSpPr>
      </xdr:nvSpPr>
      <xdr:spPr>
        <a:xfrm flipV="1">
          <a:off x="2571750" y="18954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xdr:row>
      <xdr:rowOff>0</xdr:rowOff>
    </xdr:from>
    <xdr:to>
      <xdr:col>1</xdr:col>
      <xdr:colOff>0</xdr:colOff>
      <xdr:row>4</xdr:row>
      <xdr:rowOff>0</xdr:rowOff>
    </xdr:to>
    <xdr:sp>
      <xdr:nvSpPr>
        <xdr:cNvPr id="11" name="Testo 302"/>
        <xdr:cNvSpPr txBox="1">
          <a:spLocks noChangeArrowheads="1"/>
        </xdr:cNvSpPr>
      </xdr:nvSpPr>
      <xdr:spPr>
        <a:xfrm>
          <a:off x="2571750" y="1895475"/>
          <a:ext cx="0" cy="0"/>
        </a:xfrm>
        <a:prstGeom prst="rect">
          <a:avLst/>
        </a:prstGeom>
        <a:noFill/>
        <a:ln w="1" cmpd="sng">
          <a:noFill/>
        </a:ln>
      </xdr:spPr>
      <xdr:txBody>
        <a:bodyPr vertOverflow="clip" wrap="square" anchor="ctr"/>
        <a:p>
          <a:pPr algn="ctr">
            <a:defRPr/>
          </a:pPr>
          <a:r>
            <a:rPr lang="en-US" cap="none" sz="1000" b="1" i="0" u="none" baseline="0">
              <a:latin typeface="Arial"/>
              <a:ea typeface="Arial"/>
              <a:cs typeface="Arial"/>
            </a:rPr>
            <a:t>M</a:t>
          </a:r>
        </a:p>
      </xdr:txBody>
    </xdr:sp>
    <xdr:clientData/>
  </xdr:twoCellAnchor>
  <xdr:twoCellAnchor>
    <xdr:from>
      <xdr:col>1</xdr:col>
      <xdr:colOff>0</xdr:colOff>
      <xdr:row>4</xdr:row>
      <xdr:rowOff>0</xdr:rowOff>
    </xdr:from>
    <xdr:to>
      <xdr:col>1</xdr:col>
      <xdr:colOff>0</xdr:colOff>
      <xdr:row>4</xdr:row>
      <xdr:rowOff>0</xdr:rowOff>
    </xdr:to>
    <xdr:sp>
      <xdr:nvSpPr>
        <xdr:cNvPr id="12" name="Line 12"/>
        <xdr:cNvSpPr>
          <a:spLocks/>
        </xdr:cNvSpPr>
      </xdr:nvSpPr>
      <xdr:spPr>
        <a:xfrm flipH="1">
          <a:off x="2571750" y="18954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xdr:row>
      <xdr:rowOff>0</xdr:rowOff>
    </xdr:from>
    <xdr:to>
      <xdr:col>1</xdr:col>
      <xdr:colOff>0</xdr:colOff>
      <xdr:row>4</xdr:row>
      <xdr:rowOff>0</xdr:rowOff>
    </xdr:to>
    <xdr:sp>
      <xdr:nvSpPr>
        <xdr:cNvPr id="13" name="Testo 286"/>
        <xdr:cNvSpPr txBox="1">
          <a:spLocks noChangeArrowheads="1"/>
        </xdr:cNvSpPr>
      </xdr:nvSpPr>
      <xdr:spPr>
        <a:xfrm>
          <a:off x="2571750" y="1895475"/>
          <a:ext cx="0" cy="0"/>
        </a:xfrm>
        <a:prstGeom prst="rect">
          <a:avLst/>
        </a:prstGeom>
        <a:noFill/>
        <a:ln w="1" cmpd="sng">
          <a:noFill/>
        </a:ln>
      </xdr:spPr>
      <xdr:txBody>
        <a:bodyPr vertOverflow="clip" wrap="square" anchor="ctr"/>
        <a:p>
          <a:pPr algn="ctr">
            <a:defRPr/>
          </a:pPr>
          <a:r>
            <a:rPr lang="en-US" cap="none" sz="1000" b="1" i="0" u="none" baseline="0">
              <a:latin typeface="Arial"/>
              <a:ea typeface="Arial"/>
              <a:cs typeface="Arial"/>
            </a:rPr>
            <a:t>A</a:t>
          </a:r>
        </a:p>
      </xdr:txBody>
    </xdr:sp>
    <xdr:clientData/>
  </xdr:twoCellAnchor>
  <xdr:twoCellAnchor>
    <xdr:from>
      <xdr:col>1</xdr:col>
      <xdr:colOff>0</xdr:colOff>
      <xdr:row>4</xdr:row>
      <xdr:rowOff>0</xdr:rowOff>
    </xdr:from>
    <xdr:to>
      <xdr:col>1</xdr:col>
      <xdr:colOff>0</xdr:colOff>
      <xdr:row>4</xdr:row>
      <xdr:rowOff>0</xdr:rowOff>
    </xdr:to>
    <xdr:sp>
      <xdr:nvSpPr>
        <xdr:cNvPr id="14" name="Testo 287"/>
        <xdr:cNvSpPr txBox="1">
          <a:spLocks noChangeArrowheads="1"/>
        </xdr:cNvSpPr>
      </xdr:nvSpPr>
      <xdr:spPr>
        <a:xfrm>
          <a:off x="2571750" y="1895475"/>
          <a:ext cx="0" cy="0"/>
        </a:xfrm>
        <a:prstGeom prst="rect">
          <a:avLst/>
        </a:prstGeom>
        <a:noFill/>
        <a:ln w="1" cmpd="sng">
          <a:noFill/>
        </a:ln>
      </xdr:spPr>
      <xdr:txBody>
        <a:bodyPr vertOverflow="clip" wrap="square" anchor="ctr"/>
        <a:p>
          <a:pPr algn="ctr">
            <a:defRPr/>
          </a:pPr>
          <a:r>
            <a:rPr lang="en-US" cap="none" sz="1000" b="1" i="0" u="none" baseline="0">
              <a:latin typeface="Arial"/>
              <a:ea typeface="Arial"/>
              <a:cs typeface="Arial"/>
            </a:rPr>
            <a:t>A</a:t>
          </a:r>
        </a:p>
      </xdr:txBody>
    </xdr:sp>
    <xdr:clientData/>
  </xdr:twoCellAnchor>
  <xdr:twoCellAnchor>
    <xdr:from>
      <xdr:col>1</xdr:col>
      <xdr:colOff>0</xdr:colOff>
      <xdr:row>4</xdr:row>
      <xdr:rowOff>0</xdr:rowOff>
    </xdr:from>
    <xdr:to>
      <xdr:col>1</xdr:col>
      <xdr:colOff>0</xdr:colOff>
      <xdr:row>4</xdr:row>
      <xdr:rowOff>0</xdr:rowOff>
    </xdr:to>
    <xdr:sp>
      <xdr:nvSpPr>
        <xdr:cNvPr id="15" name="Testo 288"/>
        <xdr:cNvSpPr txBox="1">
          <a:spLocks noChangeArrowheads="1"/>
        </xdr:cNvSpPr>
      </xdr:nvSpPr>
      <xdr:spPr>
        <a:xfrm>
          <a:off x="2571750" y="1895475"/>
          <a:ext cx="0" cy="0"/>
        </a:xfrm>
        <a:prstGeom prst="rect">
          <a:avLst/>
        </a:prstGeom>
        <a:noFill/>
        <a:ln w="1" cmpd="sng">
          <a:noFill/>
        </a:ln>
      </xdr:spPr>
      <xdr:txBody>
        <a:bodyPr vertOverflow="clip" wrap="square" anchor="ctr"/>
        <a:p>
          <a:pPr algn="ctr">
            <a:defRPr/>
          </a:pPr>
          <a:r>
            <a:rPr lang="en-US" cap="none" sz="1000" b="1" i="0" u="none" baseline="0">
              <a:latin typeface="Arial"/>
              <a:ea typeface="Arial"/>
              <a:cs typeface="Arial"/>
            </a:rPr>
            <a:t>C
</a:t>
          </a:r>
        </a:p>
      </xdr:txBody>
    </xdr:sp>
    <xdr:clientData/>
  </xdr:twoCellAnchor>
  <xdr:twoCellAnchor>
    <xdr:from>
      <xdr:col>1</xdr:col>
      <xdr:colOff>0</xdr:colOff>
      <xdr:row>4</xdr:row>
      <xdr:rowOff>0</xdr:rowOff>
    </xdr:from>
    <xdr:to>
      <xdr:col>1</xdr:col>
      <xdr:colOff>0</xdr:colOff>
      <xdr:row>4</xdr:row>
      <xdr:rowOff>0</xdr:rowOff>
    </xdr:to>
    <xdr:sp>
      <xdr:nvSpPr>
        <xdr:cNvPr id="16" name="Testo 289"/>
        <xdr:cNvSpPr txBox="1">
          <a:spLocks noChangeArrowheads="1"/>
        </xdr:cNvSpPr>
      </xdr:nvSpPr>
      <xdr:spPr>
        <a:xfrm>
          <a:off x="2571750" y="1895475"/>
          <a:ext cx="0" cy="0"/>
        </a:xfrm>
        <a:prstGeom prst="rect">
          <a:avLst/>
        </a:prstGeom>
        <a:noFill/>
        <a:ln w="1" cmpd="sng">
          <a:noFill/>
        </a:ln>
      </xdr:spPr>
      <xdr:txBody>
        <a:bodyPr vertOverflow="clip" wrap="square" anchor="ctr"/>
        <a:p>
          <a:pPr algn="ctr">
            <a:defRPr/>
          </a:pPr>
          <a:r>
            <a:rPr lang="en-US" cap="none" sz="1000" b="1" i="0" u="none" baseline="0">
              <a:latin typeface="Arial"/>
              <a:ea typeface="Arial"/>
              <a:cs typeface="Arial"/>
            </a:rPr>
            <a:t>D
</a:t>
          </a:r>
        </a:p>
      </xdr:txBody>
    </xdr:sp>
    <xdr:clientData/>
  </xdr:twoCellAnchor>
  <xdr:twoCellAnchor>
    <xdr:from>
      <xdr:col>1</xdr:col>
      <xdr:colOff>0</xdr:colOff>
      <xdr:row>4</xdr:row>
      <xdr:rowOff>0</xdr:rowOff>
    </xdr:from>
    <xdr:to>
      <xdr:col>1</xdr:col>
      <xdr:colOff>0</xdr:colOff>
      <xdr:row>4</xdr:row>
      <xdr:rowOff>0</xdr:rowOff>
    </xdr:to>
    <xdr:sp>
      <xdr:nvSpPr>
        <xdr:cNvPr id="17" name="Line 17"/>
        <xdr:cNvSpPr>
          <a:spLocks/>
        </xdr:cNvSpPr>
      </xdr:nvSpPr>
      <xdr:spPr>
        <a:xfrm flipV="1">
          <a:off x="2571750" y="18954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xdr:row>
      <xdr:rowOff>0</xdr:rowOff>
    </xdr:from>
    <xdr:to>
      <xdr:col>1</xdr:col>
      <xdr:colOff>0</xdr:colOff>
      <xdr:row>4</xdr:row>
      <xdr:rowOff>0</xdr:rowOff>
    </xdr:to>
    <xdr:sp>
      <xdr:nvSpPr>
        <xdr:cNvPr id="18" name="Line 18"/>
        <xdr:cNvSpPr>
          <a:spLocks/>
        </xdr:cNvSpPr>
      </xdr:nvSpPr>
      <xdr:spPr>
        <a:xfrm flipV="1">
          <a:off x="2571750" y="18954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xdr:row>
      <xdr:rowOff>0</xdr:rowOff>
    </xdr:from>
    <xdr:to>
      <xdr:col>1</xdr:col>
      <xdr:colOff>0</xdr:colOff>
      <xdr:row>4</xdr:row>
      <xdr:rowOff>0</xdr:rowOff>
    </xdr:to>
    <xdr:sp>
      <xdr:nvSpPr>
        <xdr:cNvPr id="19" name="Line 19"/>
        <xdr:cNvSpPr>
          <a:spLocks/>
        </xdr:cNvSpPr>
      </xdr:nvSpPr>
      <xdr:spPr>
        <a:xfrm>
          <a:off x="2571750" y="18954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xdr:row>
      <xdr:rowOff>0</xdr:rowOff>
    </xdr:from>
    <xdr:to>
      <xdr:col>1</xdr:col>
      <xdr:colOff>0</xdr:colOff>
      <xdr:row>4</xdr:row>
      <xdr:rowOff>0</xdr:rowOff>
    </xdr:to>
    <xdr:sp>
      <xdr:nvSpPr>
        <xdr:cNvPr id="20" name="Line 20"/>
        <xdr:cNvSpPr>
          <a:spLocks/>
        </xdr:cNvSpPr>
      </xdr:nvSpPr>
      <xdr:spPr>
        <a:xfrm flipH="1">
          <a:off x="2571750" y="18954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xdr:row>
      <xdr:rowOff>0</xdr:rowOff>
    </xdr:from>
    <xdr:to>
      <xdr:col>1</xdr:col>
      <xdr:colOff>0</xdr:colOff>
      <xdr:row>4</xdr:row>
      <xdr:rowOff>0</xdr:rowOff>
    </xdr:to>
    <xdr:sp>
      <xdr:nvSpPr>
        <xdr:cNvPr id="21" name="Line 21"/>
        <xdr:cNvSpPr>
          <a:spLocks/>
        </xdr:cNvSpPr>
      </xdr:nvSpPr>
      <xdr:spPr>
        <a:xfrm flipV="1">
          <a:off x="2571750" y="18954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xdr:row>
      <xdr:rowOff>0</xdr:rowOff>
    </xdr:from>
    <xdr:to>
      <xdr:col>1</xdr:col>
      <xdr:colOff>0</xdr:colOff>
      <xdr:row>4</xdr:row>
      <xdr:rowOff>0</xdr:rowOff>
    </xdr:to>
    <xdr:sp>
      <xdr:nvSpPr>
        <xdr:cNvPr id="22" name="Line 22"/>
        <xdr:cNvSpPr>
          <a:spLocks/>
        </xdr:cNvSpPr>
      </xdr:nvSpPr>
      <xdr:spPr>
        <a:xfrm flipV="1">
          <a:off x="2571750" y="18954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xdr:row>
      <xdr:rowOff>0</xdr:rowOff>
    </xdr:from>
    <xdr:to>
      <xdr:col>1</xdr:col>
      <xdr:colOff>0</xdr:colOff>
      <xdr:row>4</xdr:row>
      <xdr:rowOff>0</xdr:rowOff>
    </xdr:to>
    <xdr:sp>
      <xdr:nvSpPr>
        <xdr:cNvPr id="23" name="Testo 302"/>
        <xdr:cNvSpPr txBox="1">
          <a:spLocks noChangeArrowheads="1"/>
        </xdr:cNvSpPr>
      </xdr:nvSpPr>
      <xdr:spPr>
        <a:xfrm>
          <a:off x="2571750" y="1895475"/>
          <a:ext cx="0" cy="0"/>
        </a:xfrm>
        <a:prstGeom prst="rect">
          <a:avLst/>
        </a:prstGeom>
        <a:noFill/>
        <a:ln w="1" cmpd="sng">
          <a:noFill/>
        </a:ln>
      </xdr:spPr>
      <xdr:txBody>
        <a:bodyPr vertOverflow="clip" wrap="square" anchor="ctr"/>
        <a:p>
          <a:pPr algn="ctr">
            <a:defRPr/>
          </a:pPr>
          <a:r>
            <a:rPr lang="en-US" cap="none" sz="1000" b="1" i="0" u="none" baseline="0">
              <a:latin typeface="Arial"/>
              <a:ea typeface="Arial"/>
              <a:cs typeface="Arial"/>
            </a:rPr>
            <a:t>M</a:t>
          </a:r>
        </a:p>
      </xdr:txBody>
    </xdr:sp>
    <xdr:clientData/>
  </xdr:twoCellAnchor>
  <xdr:twoCellAnchor>
    <xdr:from>
      <xdr:col>1</xdr:col>
      <xdr:colOff>0</xdr:colOff>
      <xdr:row>4</xdr:row>
      <xdr:rowOff>0</xdr:rowOff>
    </xdr:from>
    <xdr:to>
      <xdr:col>1</xdr:col>
      <xdr:colOff>0</xdr:colOff>
      <xdr:row>4</xdr:row>
      <xdr:rowOff>0</xdr:rowOff>
    </xdr:to>
    <xdr:sp>
      <xdr:nvSpPr>
        <xdr:cNvPr id="24" name="Line 24"/>
        <xdr:cNvSpPr>
          <a:spLocks/>
        </xdr:cNvSpPr>
      </xdr:nvSpPr>
      <xdr:spPr>
        <a:xfrm flipH="1">
          <a:off x="2571750" y="18954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91"/>
  <sheetViews>
    <sheetView tabSelected="1" workbookViewId="0" topLeftCell="A1">
      <selection activeCell="E10" sqref="E10"/>
    </sheetView>
  </sheetViews>
  <sheetFormatPr defaultColWidth="9.140625" defaultRowHeight="12.75"/>
  <cols>
    <col min="1" max="1" width="38.57421875" style="1" customWidth="1"/>
    <col min="2" max="2" width="15.8515625" style="1" customWidth="1"/>
    <col min="3" max="3" width="3.7109375" style="1" customWidth="1"/>
    <col min="4" max="4" width="6.57421875" style="1" customWidth="1"/>
    <col min="5" max="6" width="5.7109375" style="1" customWidth="1"/>
    <col min="7" max="7" width="5.28125" style="1" customWidth="1"/>
    <col min="8" max="15" width="8.8515625" style="1" hidden="1" customWidth="1"/>
    <col min="16" max="16" width="14.140625" style="1" hidden="1" customWidth="1"/>
    <col min="17" max="23" width="8.8515625" style="1" hidden="1" customWidth="1"/>
    <col min="24" max="16384" width="8.8515625" style="1" customWidth="1"/>
  </cols>
  <sheetData>
    <row r="1" spans="1:6" ht="50.25" customHeight="1">
      <c r="A1" s="57" t="s">
        <v>44</v>
      </c>
      <c r="B1" s="58"/>
      <c r="C1" s="59"/>
      <c r="D1" s="59"/>
      <c r="E1" s="59"/>
      <c r="F1" s="60"/>
    </row>
    <row r="2" spans="1:7" ht="33" customHeight="1">
      <c r="A2" s="24" t="s">
        <v>18</v>
      </c>
      <c r="B2" s="61" t="s">
        <v>31</v>
      </c>
      <c r="C2" s="62"/>
      <c r="D2" s="62"/>
      <c r="E2" s="62"/>
      <c r="F2" s="63"/>
      <c r="G2" s="15"/>
    </row>
    <row r="3" spans="1:7" ht="33" customHeight="1">
      <c r="A3" s="29" t="s">
        <v>37</v>
      </c>
      <c r="B3" s="64" t="s">
        <v>25</v>
      </c>
      <c r="C3" s="65"/>
      <c r="D3" s="65"/>
      <c r="E3" s="65"/>
      <c r="F3" s="66"/>
      <c r="G3" s="15"/>
    </row>
    <row r="4" spans="1:7" ht="33" customHeight="1">
      <c r="A4" s="25" t="s">
        <v>39</v>
      </c>
      <c r="B4" s="67">
        <v>0.3</v>
      </c>
      <c r="C4" s="68"/>
      <c r="D4" s="68"/>
      <c r="E4" s="68"/>
      <c r="F4" s="69"/>
      <c r="G4" s="15"/>
    </row>
    <row r="5" spans="1:7" ht="27.75" customHeight="1">
      <c r="A5" s="22" t="s">
        <v>2</v>
      </c>
      <c r="B5" s="56">
        <f>W174</f>
        <v>4.9</v>
      </c>
      <c r="C5" s="26"/>
      <c r="D5" s="27" t="s">
        <v>16</v>
      </c>
      <c r="E5" s="23"/>
      <c r="F5" s="28"/>
      <c r="G5" s="2"/>
    </row>
    <row r="6" spans="8:19" ht="12.75">
      <c r="H6" s="1" t="s">
        <v>19</v>
      </c>
      <c r="N6" s="1">
        <v>2.4</v>
      </c>
      <c r="S6" s="4"/>
    </row>
    <row r="7" spans="8:19" ht="12.75">
      <c r="H7" s="1" t="s">
        <v>20</v>
      </c>
      <c r="N7" s="15">
        <v>2.2</v>
      </c>
      <c r="S7" s="4"/>
    </row>
    <row r="8" spans="8:19" ht="12.75">
      <c r="H8" s="1" t="s">
        <v>21</v>
      </c>
      <c r="N8" s="15">
        <v>2.1</v>
      </c>
      <c r="S8" s="4"/>
    </row>
    <row r="9" spans="8:19" ht="12.75">
      <c r="H9" s="1" t="s">
        <v>22</v>
      </c>
      <c r="N9" s="15">
        <v>2</v>
      </c>
      <c r="S9" s="4"/>
    </row>
    <row r="10" spans="8:19" ht="14.25" customHeight="1">
      <c r="H10" s="1" t="s">
        <v>23</v>
      </c>
      <c r="N10" s="15">
        <v>1.9</v>
      </c>
      <c r="S10" s="4"/>
    </row>
    <row r="11" spans="8:19" ht="14.25" customHeight="1">
      <c r="H11" s="1" t="s">
        <v>24</v>
      </c>
      <c r="N11" s="1">
        <v>1.8</v>
      </c>
      <c r="S11" s="4"/>
    </row>
    <row r="12" spans="8:19" ht="12.75">
      <c r="H12" s="1" t="s">
        <v>35</v>
      </c>
      <c r="N12" s="15">
        <v>2.2</v>
      </c>
      <c r="S12" s="4"/>
    </row>
    <row r="13" spans="8:19" ht="12.75">
      <c r="H13" s="1" t="s">
        <v>3</v>
      </c>
      <c r="N13" s="15">
        <v>2</v>
      </c>
      <c r="S13" s="4"/>
    </row>
    <row r="14" spans="8:19" ht="12.75">
      <c r="H14" s="1" t="s">
        <v>29</v>
      </c>
      <c r="N14" s="1">
        <v>3.8</v>
      </c>
      <c r="S14" s="4"/>
    </row>
    <row r="15" spans="8:19" ht="12.75">
      <c r="H15" s="1" t="s">
        <v>30</v>
      </c>
      <c r="N15" s="15">
        <v>3.4</v>
      </c>
      <c r="S15" s="4"/>
    </row>
    <row r="16" spans="8:19" ht="12.75">
      <c r="H16" s="1" t="s">
        <v>31</v>
      </c>
      <c r="N16" s="15">
        <v>3</v>
      </c>
      <c r="S16" s="4"/>
    </row>
    <row r="17" spans="8:19" ht="12.75">
      <c r="H17" s="1" t="s">
        <v>32</v>
      </c>
      <c r="N17" s="15">
        <v>2.6</v>
      </c>
      <c r="P17" s="30"/>
      <c r="S17" s="4"/>
    </row>
    <row r="18" spans="8:19" ht="12.75">
      <c r="H18" s="1" t="s">
        <v>33</v>
      </c>
      <c r="N18" s="1">
        <v>2.2</v>
      </c>
      <c r="P18" s="30"/>
      <c r="S18" s="4"/>
    </row>
    <row r="19" spans="8:19" ht="14.25" customHeight="1">
      <c r="H19" s="1" t="s">
        <v>4</v>
      </c>
      <c r="N19" s="1">
        <v>7</v>
      </c>
      <c r="P19" s="30"/>
      <c r="S19" s="4"/>
    </row>
    <row r="20" spans="8:19" ht="14.25" customHeight="1">
      <c r="H20" s="1" t="s">
        <v>25</v>
      </c>
      <c r="N20" s="1">
        <v>5.7</v>
      </c>
      <c r="P20" s="19"/>
      <c r="S20" s="4"/>
    </row>
    <row r="21" spans="8:19" ht="14.25" customHeight="1">
      <c r="H21" s="1" t="s">
        <v>26</v>
      </c>
      <c r="N21" s="1">
        <v>3.3</v>
      </c>
      <c r="P21" s="31"/>
      <c r="S21" s="4"/>
    </row>
    <row r="22" spans="8:19" ht="14.25" customHeight="1">
      <c r="H22" s="1" t="s">
        <v>27</v>
      </c>
      <c r="N22" s="1">
        <v>3.1</v>
      </c>
      <c r="P22" s="19"/>
      <c r="S22" s="4"/>
    </row>
    <row r="23" spans="8:19" ht="12.75">
      <c r="H23" s="1" t="s">
        <v>28</v>
      </c>
      <c r="N23" s="1">
        <v>2.9</v>
      </c>
      <c r="P23" s="19"/>
      <c r="R23" s="4"/>
      <c r="S23" s="4"/>
    </row>
    <row r="24" spans="8:19" ht="12.75">
      <c r="H24" s="1" t="s">
        <v>38</v>
      </c>
      <c r="N24" s="20">
        <v>0.2</v>
      </c>
      <c r="P24" s="30"/>
      <c r="R24" s="4"/>
      <c r="S24" s="4"/>
    </row>
    <row r="25" spans="8:19" ht="12.75">
      <c r="H25" s="1" t="s">
        <v>38</v>
      </c>
      <c r="N25" s="20">
        <v>0.3</v>
      </c>
      <c r="R25" s="4"/>
      <c r="S25" s="4"/>
    </row>
    <row r="26" spans="8:19" ht="12.75">
      <c r="H26" s="1" t="s">
        <v>5</v>
      </c>
      <c r="S26" s="4"/>
    </row>
    <row r="27" spans="8:19" ht="12.75">
      <c r="H27" s="5" t="s">
        <v>6</v>
      </c>
      <c r="I27" s="5"/>
      <c r="J27" s="6"/>
      <c r="K27" s="6"/>
      <c r="L27" s="6"/>
      <c r="M27" s="6"/>
      <c r="N27" s="6"/>
      <c r="O27" s="6"/>
      <c r="P27" s="6"/>
      <c r="Q27" s="4"/>
      <c r="R27" s="4"/>
      <c r="S27" s="4"/>
    </row>
    <row r="28" spans="8:19" ht="12.75">
      <c r="H28" s="5" t="s">
        <v>0</v>
      </c>
      <c r="I28" s="5"/>
      <c r="J28" s="6"/>
      <c r="K28" s="6"/>
      <c r="L28" s="6"/>
      <c r="M28" s="6"/>
      <c r="N28" s="6"/>
      <c r="O28" s="6"/>
      <c r="P28" s="6"/>
      <c r="Q28" s="4"/>
      <c r="R28" s="4"/>
      <c r="S28" s="4"/>
    </row>
    <row r="29" spans="8:19" ht="12.75">
      <c r="H29" s="5" t="s">
        <v>7</v>
      </c>
      <c r="I29" s="5"/>
      <c r="J29" s="6"/>
      <c r="K29" s="6"/>
      <c r="L29" s="6"/>
      <c r="M29" s="6"/>
      <c r="N29" s="6"/>
      <c r="O29" s="6"/>
      <c r="P29" s="6"/>
      <c r="Q29" s="4"/>
      <c r="R29" s="4"/>
      <c r="S29" s="4"/>
    </row>
    <row r="30" spans="8:19" ht="12.75">
      <c r="H30" s="5" t="s">
        <v>8</v>
      </c>
      <c r="I30" s="5"/>
      <c r="J30" s="6"/>
      <c r="K30" s="6"/>
      <c r="L30" s="6"/>
      <c r="M30" s="6"/>
      <c r="N30" s="6"/>
      <c r="O30" s="6"/>
      <c r="P30" s="6"/>
      <c r="Q30" s="4"/>
      <c r="R30" s="4"/>
      <c r="S30" s="4"/>
    </row>
    <row r="31" spans="8:19" ht="12.75">
      <c r="H31" s="5" t="s">
        <v>9</v>
      </c>
      <c r="I31" s="5"/>
      <c r="J31" s="6"/>
      <c r="K31" s="6"/>
      <c r="L31" s="6"/>
      <c r="M31" s="6"/>
      <c r="N31" s="6"/>
      <c r="O31" s="6"/>
      <c r="P31" s="6"/>
      <c r="Q31" s="4"/>
      <c r="R31" s="4"/>
      <c r="S31" s="4"/>
    </row>
    <row r="32" spans="8:19" ht="12.75">
      <c r="H32" s="5" t="s">
        <v>10</v>
      </c>
      <c r="I32" s="5"/>
      <c r="J32" s="6"/>
      <c r="K32" s="6"/>
      <c r="L32" s="6"/>
      <c r="M32" s="6"/>
      <c r="N32" s="6"/>
      <c r="O32" s="6"/>
      <c r="P32" s="6"/>
      <c r="Q32" s="4"/>
      <c r="R32" s="4"/>
      <c r="S32" s="4"/>
    </row>
    <row r="33" spans="8:19" ht="12.75">
      <c r="H33" s="5" t="s">
        <v>11</v>
      </c>
      <c r="I33" s="5"/>
      <c r="J33" s="6"/>
      <c r="K33" s="6"/>
      <c r="L33" s="6"/>
      <c r="M33" s="6"/>
      <c r="N33" s="6"/>
      <c r="O33" s="6"/>
      <c r="P33" s="6"/>
      <c r="Q33" s="4"/>
      <c r="R33" s="4"/>
      <c r="S33" s="4"/>
    </row>
    <row r="34" spans="8:19" ht="12.75">
      <c r="H34" s="5" t="s">
        <v>12</v>
      </c>
      <c r="I34" s="5"/>
      <c r="J34" s="6"/>
      <c r="K34" s="6"/>
      <c r="L34" s="6"/>
      <c r="M34" s="6"/>
      <c r="N34" s="6"/>
      <c r="O34" s="6"/>
      <c r="P34" s="6"/>
      <c r="Q34" s="4"/>
      <c r="R34" s="4"/>
      <c r="S34" s="4"/>
    </row>
    <row r="35" spans="8:19" ht="12.75">
      <c r="H35" s="5" t="s">
        <v>1</v>
      </c>
      <c r="I35" s="5"/>
      <c r="J35" s="6"/>
      <c r="K35" s="6"/>
      <c r="L35" s="6"/>
      <c r="M35" s="6"/>
      <c r="N35" s="6"/>
      <c r="O35" s="6"/>
      <c r="P35" s="6"/>
      <c r="Q35" s="4"/>
      <c r="R35" s="4"/>
      <c r="S35" s="4"/>
    </row>
    <row r="36" spans="8:24" ht="12.75">
      <c r="H36" s="5" t="s">
        <v>13</v>
      </c>
      <c r="I36" s="5"/>
      <c r="J36" s="6"/>
      <c r="K36" s="6"/>
      <c r="L36" s="6"/>
      <c r="M36" s="6"/>
      <c r="N36" s="6"/>
      <c r="O36" s="6"/>
      <c r="P36" s="6"/>
      <c r="Q36" s="4"/>
      <c r="R36" s="4"/>
      <c r="S36" s="4"/>
      <c r="X36" s="7"/>
    </row>
    <row r="37" spans="8:19" ht="12.75">
      <c r="H37" s="5" t="s">
        <v>14</v>
      </c>
      <c r="I37" s="5"/>
      <c r="J37" s="6"/>
      <c r="K37" s="6"/>
      <c r="L37" s="6"/>
      <c r="M37" s="6"/>
      <c r="N37" s="6"/>
      <c r="O37" s="6"/>
      <c r="P37" s="6"/>
      <c r="Q37" s="4"/>
      <c r="R37" s="4"/>
      <c r="S37" s="3"/>
    </row>
    <row r="38" spans="8:19" ht="12.75">
      <c r="H38" s="8" t="e">
        <f>IF(#REF!="nessuna",0,0)</f>
        <v>#REF!</v>
      </c>
      <c r="I38" s="8"/>
      <c r="J38" s="8" t="e">
        <f>IF(#REF!="molto elevata",0.08,0)</f>
        <v>#REF!</v>
      </c>
      <c r="K38" s="8" t="e">
        <f>IF(#REF!="elevata",0.25,0)</f>
        <v>#REF!</v>
      </c>
      <c r="L38" s="8" t="e">
        <f>IF(#REF!="media",0.55,0)</f>
        <v>#REF!</v>
      </c>
      <c r="M38" s="8" t="e">
        <f>IF(#REF!="bassa",0.8,0)</f>
        <v>#REF!</v>
      </c>
      <c r="N38" s="8" t="e">
        <f>IF(#REF!="a tenuta",0.95,0)</f>
        <v>#REF!</v>
      </c>
      <c r="O38" s="8" t="e">
        <f>SUM(J38:N38)</f>
        <v>#REF!</v>
      </c>
      <c r="P38" s="6"/>
      <c r="Q38" s="4"/>
      <c r="R38" s="4"/>
      <c r="S38" s="3"/>
    </row>
    <row r="39" spans="8:18" ht="15.75" customHeight="1">
      <c r="H39" s="8" t="e">
        <f>IF(#REF!="nessuna",0,0)</f>
        <v>#REF!</v>
      </c>
      <c r="I39" s="8"/>
      <c r="J39" s="8" t="e">
        <f>IF(#REF!="avvolgibile di alluminio",0.01,0)</f>
        <v>#REF!</v>
      </c>
      <c r="K39" s="8" t="e">
        <f>IF(#REF!="avvolgibile di legno e plastica senza schiuma",0.1,0)</f>
        <v>#REF!</v>
      </c>
      <c r="L39" s="8" t="e">
        <f>IF(#REF!="avvogibile di legno e plastica con schiuma",0.15,0)</f>
        <v>#REF!</v>
      </c>
      <c r="M39" s="8" t="e">
        <f>IF(#REF!="persiana di legno da 25 a 30 mm di spessore",0.2,0)</f>
        <v>#REF!</v>
      </c>
      <c r="N39" s="8" t="e">
        <f>IF(#REF!="persiana di alluminio",0.01,0)</f>
        <v>#REF!</v>
      </c>
      <c r="O39" s="8" t="e">
        <f>SUM(J39:N39)</f>
        <v>#REF!</v>
      </c>
      <c r="P39" s="6"/>
      <c r="Q39" s="4"/>
      <c r="R39" s="4"/>
    </row>
    <row r="40" spans="8:19" ht="12.75">
      <c r="H40" s="8" t="e">
        <f>IF(#REF!="nessuna",0,0)</f>
        <v>#REF!</v>
      </c>
      <c r="I40" s="8"/>
      <c r="J40" s="6" t="e">
        <f>IF(#REF!="molto elevata",0,0)</f>
        <v>#REF!</v>
      </c>
      <c r="K40" s="6" t="e">
        <f>IF(#REF!="elevata",0.09,0)</f>
        <v>#REF!</v>
      </c>
      <c r="L40" s="6" t="e">
        <f>IF(#REF!="media",0.11,0)</f>
        <v>#REF!</v>
      </c>
      <c r="M40" s="6" t="e">
        <f>IF(#REF!="bassa",0.14,0)</f>
        <v>#REF!</v>
      </c>
      <c r="N40" s="6" t="e">
        <f>IF(#REF!="a tenuta",0.17,0)</f>
        <v>#REF!</v>
      </c>
      <c r="O40" s="9" t="e">
        <f>SUM(J40:N40)</f>
        <v>#REF!</v>
      </c>
      <c r="P40" s="6"/>
      <c r="Q40" s="4"/>
      <c r="R40" s="4"/>
      <c r="S40" s="4"/>
    </row>
    <row r="41" spans="8:19" ht="15">
      <c r="H41" s="5" t="s">
        <v>15</v>
      </c>
      <c r="I41" s="5"/>
      <c r="J41" s="10"/>
      <c r="K41" s="10"/>
      <c r="L41" s="10"/>
      <c r="M41" s="5"/>
      <c r="N41" s="5"/>
      <c r="O41" s="11" t="e">
        <f>O38</f>
        <v>#REF!</v>
      </c>
      <c r="P41" s="12"/>
      <c r="Q41" s="3"/>
      <c r="R41" s="3"/>
      <c r="S41" s="4"/>
    </row>
    <row r="42" spans="8:19" ht="15.75">
      <c r="H42" s="5" t="s">
        <v>17</v>
      </c>
      <c r="I42" s="5"/>
      <c r="J42" s="10"/>
      <c r="K42" s="10"/>
      <c r="L42" s="10"/>
      <c r="M42" s="5"/>
      <c r="N42" s="5"/>
      <c r="O42" s="11" t="e">
        <f>O39</f>
        <v>#REF!</v>
      </c>
      <c r="P42" s="13"/>
      <c r="Q42" s="3"/>
      <c r="R42" s="3"/>
      <c r="S42" s="4"/>
    </row>
    <row r="43" spans="8:19" ht="18">
      <c r="H43" s="5" t="s">
        <v>40</v>
      </c>
      <c r="I43" s="5"/>
      <c r="J43" s="10"/>
      <c r="K43" s="10"/>
      <c r="L43" s="10"/>
      <c r="M43" s="5"/>
      <c r="N43" s="5"/>
      <c r="O43" s="11" t="e">
        <f>IF(#REF!="molto elevata",0.08,O38*O39+O40)</f>
        <v>#REF!</v>
      </c>
      <c r="P43" s="14"/>
      <c r="Q43" s="3"/>
      <c r="R43" s="3"/>
      <c r="S43" s="4"/>
    </row>
    <row r="44" spans="8:18" ht="12.75">
      <c r="H44" s="1" t="s">
        <v>34</v>
      </c>
      <c r="N44" s="16">
        <f>IF(B2="Legno duro (rovere, mogano, iroko) spessore mm 50",N6,N45)</f>
        <v>3</v>
      </c>
      <c r="R44" s="4"/>
    </row>
    <row r="45" spans="14:18" ht="12.75">
      <c r="N45" s="16">
        <f>IF(B2="Legno duro (rovere, mogano, iroko) spessore mm 60",N7,N46)</f>
        <v>3</v>
      </c>
      <c r="R45" s="4"/>
    </row>
    <row r="46" spans="14:18" ht="12.75">
      <c r="N46" s="16">
        <f>IF(B2="Legno duro (rovere, mogano, iroko) spessore mm 70",N8,N47)</f>
        <v>3</v>
      </c>
      <c r="R46" s="4"/>
    </row>
    <row r="47" spans="14:18" ht="12.75">
      <c r="N47" s="16">
        <f>IF(B2="Legno tenero (pino,abete, larice, douglas, hemlock) mm 50",N9,N48)</f>
        <v>3</v>
      </c>
      <c r="R47" s="4"/>
    </row>
    <row r="48" spans="14:18" ht="12.75">
      <c r="N48" s="16">
        <f>IF(B2="Legno tenero (pino,abete, larice, douglas, hemlock) mm 60",N10,N49)</f>
        <v>3</v>
      </c>
      <c r="R48" s="4"/>
    </row>
    <row r="49" spans="14:18" ht="12.75">
      <c r="N49" s="16">
        <f>IF(B2="Legno tenero (pino,abete, larice, douglas, hemlock) mm 70",N11,N50)</f>
        <v>3</v>
      </c>
      <c r="R49" s="4"/>
    </row>
    <row r="50" spans="14:18" ht="12.75">
      <c r="N50" s="16">
        <f>IF(B2="Pvc a due camere",N12,N51)</f>
        <v>3</v>
      </c>
      <c r="R50" s="4"/>
    </row>
    <row r="51" spans="14:18" ht="12.75">
      <c r="N51" s="16">
        <f>IF(B2="Pvc a tre camere",N13,N52)</f>
        <v>3</v>
      </c>
      <c r="R51" s="4"/>
    </row>
    <row r="52" spans="14:18" ht="12.75">
      <c r="N52" s="16">
        <f>IF(B2="Alluminio a taglio termico Uf = 3,8",N14,N53)</f>
        <v>3</v>
      </c>
      <c r="R52" s="4"/>
    </row>
    <row r="53" spans="14:18" ht="12.75">
      <c r="N53" s="16">
        <f>IF(B2="Alluminio a taglio termico Uf = 3,4",N15,N54)</f>
        <v>3</v>
      </c>
      <c r="R53" s="4"/>
    </row>
    <row r="54" spans="14:18" ht="12.75">
      <c r="N54" s="16">
        <f>IF(B2="Alluminio a taglio termico Uf = 3,0",N16,N55)</f>
        <v>3</v>
      </c>
      <c r="R54" s="4"/>
    </row>
    <row r="55" spans="14:18" ht="12.75">
      <c r="N55" s="16">
        <f>IF(B2="Alluminio a taglio termico Uf = 2,6",N17,N56)</f>
        <v>0</v>
      </c>
      <c r="R55" s="4"/>
    </row>
    <row r="56" spans="14:18" ht="12.75">
      <c r="N56" s="16">
        <f>IF(B2="Alluminio a taglio termico Uf = 2,2",N18,N57)</f>
        <v>0</v>
      </c>
      <c r="R56" s="4"/>
    </row>
    <row r="57" spans="14:18" ht="12.75">
      <c r="N57" s="16">
        <f>IF(B2="Alluminio senza taglio termico",N19,0)</f>
        <v>0</v>
      </c>
      <c r="R57" s="4"/>
    </row>
    <row r="58" spans="8:18" ht="12.75">
      <c r="H58" s="1" t="s">
        <v>36</v>
      </c>
      <c r="N58" s="16">
        <f>IF(B3="vetrata singola",N20,N59)</f>
        <v>5.7</v>
      </c>
      <c r="R58" s="4"/>
    </row>
    <row r="59" spans="14:18" ht="12.75">
      <c r="N59" s="16">
        <f>IF(B3="vetrata 4-6-4",N21,N60)</f>
        <v>0</v>
      </c>
      <c r="R59" s="4"/>
    </row>
    <row r="60" spans="14:18" ht="12.75">
      <c r="N60" s="16">
        <f>IF(B3="vetrata 4-9-4",N22,N61)</f>
        <v>0</v>
      </c>
      <c r="R60" s="4"/>
    </row>
    <row r="61" spans="14:18" ht="12.75">
      <c r="N61" s="16">
        <f>IF(B3="vetrata 4-12-4",N23,0)</f>
        <v>0</v>
      </c>
      <c r="P61" s="50" t="s">
        <v>41</v>
      </c>
      <c r="R61" s="4"/>
    </row>
    <row r="62" spans="8:23" ht="12.75">
      <c r="H62" s="5" t="s">
        <v>42</v>
      </c>
      <c r="N62" s="21">
        <f aca="true" t="shared" si="0" ref="N62:N93">IF($B$4=$N$24,O62,0)</f>
        <v>0</v>
      </c>
      <c r="O62" s="21">
        <f>IF(N44=N6,P62,O118)</f>
        <v>0</v>
      </c>
      <c r="P62" s="51">
        <f>IF($N$58=$N$20,5.05,0)</f>
        <v>5.05</v>
      </c>
      <c r="Q62" s="1">
        <f aca="true" t="shared" si="1" ref="Q62:Q90">IF(N62=0,0,1)</f>
        <v>0</v>
      </c>
      <c r="R62" s="1">
        <f aca="true" t="shared" si="2" ref="R62:R90">IF(O62=0,0,1)</f>
        <v>0</v>
      </c>
      <c r="S62" s="1">
        <f aca="true" t="shared" si="3" ref="S62:S90">IF(P62=0,0,1)</f>
        <v>1</v>
      </c>
      <c r="T62" s="1">
        <f aca="true" t="shared" si="4" ref="T62:T90">IF(Q62+R62+S62=3,3,0)</f>
        <v>0</v>
      </c>
      <c r="U62" s="1">
        <f aca="true" t="shared" si="5" ref="U62:U75">IF($B$2=H6,1,0)</f>
        <v>0</v>
      </c>
      <c r="V62" s="1">
        <f aca="true" t="shared" si="6" ref="V62:V90">T62+U62</f>
        <v>0</v>
      </c>
      <c r="W62" s="32">
        <f aca="true" t="shared" si="7" ref="W62:W90">IF(V62=4,P62,0)</f>
        <v>0</v>
      </c>
    </row>
    <row r="63" spans="14:23" ht="12.75">
      <c r="N63" s="21">
        <f t="shared" si="0"/>
        <v>0</v>
      </c>
      <c r="O63" s="21">
        <f>IF(N45=N7,P63,O119)</f>
        <v>0</v>
      </c>
      <c r="P63" s="51">
        <f>IF($N$58=$N$20,5,0)</f>
        <v>5</v>
      </c>
      <c r="Q63" s="1">
        <f t="shared" si="1"/>
        <v>0</v>
      </c>
      <c r="R63" s="1">
        <f t="shared" si="2"/>
        <v>0</v>
      </c>
      <c r="S63" s="1">
        <f t="shared" si="3"/>
        <v>1</v>
      </c>
      <c r="T63" s="1">
        <f t="shared" si="4"/>
        <v>0</v>
      </c>
      <c r="U63" s="1">
        <f t="shared" si="5"/>
        <v>0</v>
      </c>
      <c r="V63" s="1">
        <f t="shared" si="6"/>
        <v>0</v>
      </c>
      <c r="W63" s="32">
        <f t="shared" si="7"/>
        <v>0</v>
      </c>
    </row>
    <row r="64" spans="14:23" ht="12.75">
      <c r="N64" s="21">
        <f t="shared" si="0"/>
        <v>0</v>
      </c>
      <c r="O64" s="21">
        <f>IF(N46=N8,P64,O120)</f>
        <v>0</v>
      </c>
      <c r="P64" s="51">
        <f>IF($N$58=$N$20,5,0)</f>
        <v>5</v>
      </c>
      <c r="Q64" s="1">
        <f t="shared" si="1"/>
        <v>0</v>
      </c>
      <c r="R64" s="1">
        <f t="shared" si="2"/>
        <v>0</v>
      </c>
      <c r="S64" s="1">
        <f t="shared" si="3"/>
        <v>1</v>
      </c>
      <c r="T64" s="1">
        <f t="shared" si="4"/>
        <v>0</v>
      </c>
      <c r="U64" s="1">
        <f t="shared" si="5"/>
        <v>0</v>
      </c>
      <c r="V64" s="1">
        <f t="shared" si="6"/>
        <v>0</v>
      </c>
      <c r="W64" s="32">
        <f t="shared" si="7"/>
        <v>0</v>
      </c>
    </row>
    <row r="65" spans="14:23" ht="12.75">
      <c r="N65" s="21">
        <f t="shared" si="0"/>
        <v>0</v>
      </c>
      <c r="O65" s="21">
        <f>IF(N47=N9,P65,O174)</f>
        <v>0</v>
      </c>
      <c r="P65" s="51">
        <f>IF($N$58=$N$20,5,0)</f>
        <v>5</v>
      </c>
      <c r="Q65" s="1">
        <f t="shared" si="1"/>
        <v>0</v>
      </c>
      <c r="R65" s="1">
        <f t="shared" si="2"/>
        <v>0</v>
      </c>
      <c r="S65" s="1">
        <f t="shared" si="3"/>
        <v>1</v>
      </c>
      <c r="T65" s="1">
        <f t="shared" si="4"/>
        <v>0</v>
      </c>
      <c r="U65" s="1">
        <f t="shared" si="5"/>
        <v>0</v>
      </c>
      <c r="V65" s="1">
        <f t="shared" si="6"/>
        <v>0</v>
      </c>
      <c r="W65" s="32">
        <f t="shared" si="7"/>
        <v>0</v>
      </c>
    </row>
    <row r="66" spans="14:23" ht="12.75">
      <c r="N66" s="21">
        <f t="shared" si="0"/>
        <v>0</v>
      </c>
      <c r="O66" s="21">
        <f aca="true" t="shared" si="8" ref="O66:O75">IF(N48=N10,P66,O176)</f>
        <v>0</v>
      </c>
      <c r="P66" s="51">
        <f>IF($N$58=$N$20,4.95,0)</f>
        <v>4.95</v>
      </c>
      <c r="Q66" s="1">
        <f t="shared" si="1"/>
        <v>0</v>
      </c>
      <c r="R66" s="1">
        <f t="shared" si="2"/>
        <v>0</v>
      </c>
      <c r="S66" s="1">
        <f t="shared" si="3"/>
        <v>1</v>
      </c>
      <c r="T66" s="1">
        <f t="shared" si="4"/>
        <v>0</v>
      </c>
      <c r="U66" s="1">
        <f t="shared" si="5"/>
        <v>0</v>
      </c>
      <c r="V66" s="1">
        <f t="shared" si="6"/>
        <v>0</v>
      </c>
      <c r="W66" s="32">
        <f t="shared" si="7"/>
        <v>0</v>
      </c>
    </row>
    <row r="67" spans="14:23" ht="12.75">
      <c r="N67" s="21">
        <f t="shared" si="0"/>
        <v>0</v>
      </c>
      <c r="O67" s="21">
        <f t="shared" si="8"/>
        <v>0</v>
      </c>
      <c r="P67" s="51">
        <f>IF($N$58=$N$20,4.9,0)</f>
        <v>4.9</v>
      </c>
      <c r="Q67" s="1">
        <f t="shared" si="1"/>
        <v>0</v>
      </c>
      <c r="R67" s="1">
        <f t="shared" si="2"/>
        <v>0</v>
      </c>
      <c r="S67" s="1">
        <f t="shared" si="3"/>
        <v>1</v>
      </c>
      <c r="T67" s="1">
        <f t="shared" si="4"/>
        <v>0</v>
      </c>
      <c r="U67" s="1">
        <f t="shared" si="5"/>
        <v>0</v>
      </c>
      <c r="V67" s="1">
        <f t="shared" si="6"/>
        <v>0</v>
      </c>
      <c r="W67" s="32">
        <f t="shared" si="7"/>
        <v>0</v>
      </c>
    </row>
    <row r="68" spans="14:23" ht="12.75">
      <c r="N68" s="21">
        <f t="shared" si="0"/>
        <v>0</v>
      </c>
      <c r="O68" s="21">
        <f t="shared" si="8"/>
        <v>0</v>
      </c>
      <c r="P68" s="51">
        <f>IF($N$58=$N$20,5,0)</f>
        <v>5</v>
      </c>
      <c r="Q68" s="1">
        <f t="shared" si="1"/>
        <v>0</v>
      </c>
      <c r="R68" s="1">
        <f t="shared" si="2"/>
        <v>0</v>
      </c>
      <c r="S68" s="1">
        <f t="shared" si="3"/>
        <v>1</v>
      </c>
      <c r="T68" s="1">
        <f t="shared" si="4"/>
        <v>0</v>
      </c>
      <c r="U68" s="1">
        <f t="shared" si="5"/>
        <v>0</v>
      </c>
      <c r="V68" s="1">
        <f t="shared" si="6"/>
        <v>0</v>
      </c>
      <c r="W68" s="32">
        <f t="shared" si="7"/>
        <v>0</v>
      </c>
    </row>
    <row r="69" spans="14:23" ht="12.75">
      <c r="N69" s="21">
        <f t="shared" si="0"/>
        <v>0</v>
      </c>
      <c r="O69" s="21">
        <f t="shared" si="8"/>
        <v>0</v>
      </c>
      <c r="P69" s="51">
        <f>IF($N$58=$N$20,5,0)</f>
        <v>5</v>
      </c>
      <c r="Q69" s="1">
        <f t="shared" si="1"/>
        <v>0</v>
      </c>
      <c r="R69" s="1">
        <f t="shared" si="2"/>
        <v>0</v>
      </c>
      <c r="S69" s="1">
        <f t="shared" si="3"/>
        <v>1</v>
      </c>
      <c r="T69" s="1">
        <f t="shared" si="4"/>
        <v>0</v>
      </c>
      <c r="U69" s="1">
        <f t="shared" si="5"/>
        <v>0</v>
      </c>
      <c r="V69" s="1">
        <f t="shared" si="6"/>
        <v>0</v>
      </c>
      <c r="W69" s="32">
        <f t="shared" si="7"/>
        <v>0</v>
      </c>
    </row>
    <row r="70" spans="14:23" ht="12.75">
      <c r="N70" s="21">
        <f t="shared" si="0"/>
        <v>0</v>
      </c>
      <c r="O70" s="21">
        <f t="shared" si="8"/>
        <v>0</v>
      </c>
      <c r="P70" s="51">
        <f>IF($N$58=$N$20,5.3,0)</f>
        <v>5.3</v>
      </c>
      <c r="Q70" s="1">
        <f t="shared" si="1"/>
        <v>0</v>
      </c>
      <c r="R70" s="1">
        <f t="shared" si="2"/>
        <v>0</v>
      </c>
      <c r="S70" s="1">
        <f t="shared" si="3"/>
        <v>1</v>
      </c>
      <c r="T70" s="1">
        <f t="shared" si="4"/>
        <v>0</v>
      </c>
      <c r="U70" s="1">
        <f t="shared" si="5"/>
        <v>0</v>
      </c>
      <c r="V70" s="1">
        <f t="shared" si="6"/>
        <v>0</v>
      </c>
      <c r="W70" s="32">
        <f t="shared" si="7"/>
        <v>0</v>
      </c>
    </row>
    <row r="71" spans="14:23" ht="12.75">
      <c r="N71" s="21">
        <f t="shared" si="0"/>
        <v>0</v>
      </c>
      <c r="O71" s="21">
        <f t="shared" si="8"/>
        <v>0</v>
      </c>
      <c r="P71" s="51">
        <f>IF($N$58=$N$20,5.2,0)</f>
        <v>5.2</v>
      </c>
      <c r="Q71" s="1">
        <f t="shared" si="1"/>
        <v>0</v>
      </c>
      <c r="R71" s="1">
        <f t="shared" si="2"/>
        <v>0</v>
      </c>
      <c r="S71" s="1">
        <f t="shared" si="3"/>
        <v>1</v>
      </c>
      <c r="T71" s="1">
        <f t="shared" si="4"/>
        <v>0</v>
      </c>
      <c r="U71" s="1">
        <f t="shared" si="5"/>
        <v>0</v>
      </c>
      <c r="V71" s="1">
        <f t="shared" si="6"/>
        <v>0</v>
      </c>
      <c r="W71" s="32">
        <f t="shared" si="7"/>
        <v>0</v>
      </c>
    </row>
    <row r="72" spans="14:23" ht="12.75">
      <c r="N72" s="21">
        <f t="shared" si="0"/>
        <v>0</v>
      </c>
      <c r="O72" s="21">
        <f t="shared" si="8"/>
        <v>5.2</v>
      </c>
      <c r="P72" s="51">
        <f>IF($N$58=$N$20,5.2,0)</f>
        <v>5.2</v>
      </c>
      <c r="Q72" s="1">
        <f t="shared" si="1"/>
        <v>0</v>
      </c>
      <c r="R72" s="1">
        <f t="shared" si="2"/>
        <v>1</v>
      </c>
      <c r="S72" s="1">
        <f t="shared" si="3"/>
        <v>1</v>
      </c>
      <c r="T72" s="1">
        <f t="shared" si="4"/>
        <v>0</v>
      </c>
      <c r="U72" s="1">
        <f t="shared" si="5"/>
        <v>1</v>
      </c>
      <c r="V72" s="1">
        <f t="shared" si="6"/>
        <v>1</v>
      </c>
      <c r="W72" s="32">
        <f t="shared" si="7"/>
        <v>0</v>
      </c>
    </row>
    <row r="73" spans="14:23" ht="12.75">
      <c r="N73" s="21">
        <f t="shared" si="0"/>
        <v>0</v>
      </c>
      <c r="O73" s="21">
        <f t="shared" si="8"/>
        <v>0</v>
      </c>
      <c r="P73" s="51">
        <f>IF($N$58=$N$20,5.1,0)</f>
        <v>5.1</v>
      </c>
      <c r="Q73" s="1">
        <f t="shared" si="1"/>
        <v>0</v>
      </c>
      <c r="R73" s="1">
        <f t="shared" si="2"/>
        <v>0</v>
      </c>
      <c r="S73" s="1">
        <f t="shared" si="3"/>
        <v>1</v>
      </c>
      <c r="T73" s="1">
        <f t="shared" si="4"/>
        <v>0</v>
      </c>
      <c r="U73" s="1">
        <f t="shared" si="5"/>
        <v>0</v>
      </c>
      <c r="V73" s="1">
        <f t="shared" si="6"/>
        <v>0</v>
      </c>
      <c r="W73" s="32">
        <f t="shared" si="7"/>
        <v>0</v>
      </c>
    </row>
    <row r="74" spans="14:23" ht="12.75">
      <c r="N74" s="21">
        <f t="shared" si="0"/>
        <v>0</v>
      </c>
      <c r="O74" s="21">
        <f t="shared" si="8"/>
        <v>0</v>
      </c>
      <c r="P74" s="51">
        <f>IF($N$58=$N$20,5,0)</f>
        <v>5</v>
      </c>
      <c r="Q74" s="1">
        <f t="shared" si="1"/>
        <v>0</v>
      </c>
      <c r="R74" s="1">
        <f t="shared" si="2"/>
        <v>0</v>
      </c>
      <c r="S74" s="1">
        <f t="shared" si="3"/>
        <v>1</v>
      </c>
      <c r="T74" s="1">
        <f t="shared" si="4"/>
        <v>0</v>
      </c>
      <c r="U74" s="1">
        <f t="shared" si="5"/>
        <v>0</v>
      </c>
      <c r="V74" s="1">
        <f t="shared" si="6"/>
        <v>0</v>
      </c>
      <c r="W74" s="32">
        <f t="shared" si="7"/>
        <v>0</v>
      </c>
    </row>
    <row r="75" spans="14:23" ht="12.75">
      <c r="N75" s="21">
        <f t="shared" si="0"/>
        <v>0</v>
      </c>
      <c r="O75" s="21">
        <f t="shared" si="8"/>
        <v>0</v>
      </c>
      <c r="P75" s="51">
        <f>IF($N$58=$N$20,6,0)</f>
        <v>6</v>
      </c>
      <c r="Q75" s="1">
        <f t="shared" si="1"/>
        <v>0</v>
      </c>
      <c r="R75" s="1">
        <f t="shared" si="2"/>
        <v>0</v>
      </c>
      <c r="S75" s="1">
        <f t="shared" si="3"/>
        <v>1</v>
      </c>
      <c r="T75" s="1">
        <f t="shared" si="4"/>
        <v>0</v>
      </c>
      <c r="U75" s="1">
        <f t="shared" si="5"/>
        <v>0</v>
      </c>
      <c r="V75" s="1">
        <f t="shared" si="6"/>
        <v>0</v>
      </c>
      <c r="W75" s="32">
        <f t="shared" si="7"/>
        <v>0</v>
      </c>
    </row>
    <row r="76" spans="14:23" ht="12.75">
      <c r="N76" s="33">
        <f t="shared" si="0"/>
        <v>0</v>
      </c>
      <c r="O76" s="33">
        <f aca="true" t="shared" si="9" ref="O76:O89">IF(N44=N6,P76,O186)</f>
        <v>0</v>
      </c>
      <c r="P76" s="52">
        <f>IF($N$59=$N$21,3.35,0)</f>
        <v>0</v>
      </c>
      <c r="Q76" s="34">
        <f t="shared" si="1"/>
        <v>0</v>
      </c>
      <c r="R76" s="34">
        <f t="shared" si="2"/>
        <v>0</v>
      </c>
      <c r="S76" s="34">
        <f t="shared" si="3"/>
        <v>0</v>
      </c>
      <c r="T76" s="34">
        <f t="shared" si="4"/>
        <v>0</v>
      </c>
      <c r="U76" s="34">
        <f aca="true" t="shared" si="10" ref="U76:U81">IF($B$2=H6,1,0)</f>
        <v>0</v>
      </c>
      <c r="V76" s="34">
        <f t="shared" si="6"/>
        <v>0</v>
      </c>
      <c r="W76" s="35">
        <f t="shared" si="7"/>
        <v>0</v>
      </c>
    </row>
    <row r="77" spans="14:23" ht="12.75">
      <c r="N77" s="33">
        <f t="shared" si="0"/>
        <v>0</v>
      </c>
      <c r="O77" s="33">
        <f t="shared" si="9"/>
        <v>0</v>
      </c>
      <c r="P77" s="52">
        <f>IF($N$59=$N$21,3.3,0)</f>
        <v>0</v>
      </c>
      <c r="Q77" s="34">
        <f t="shared" si="1"/>
        <v>0</v>
      </c>
      <c r="R77" s="34">
        <f t="shared" si="2"/>
        <v>0</v>
      </c>
      <c r="S77" s="34">
        <f t="shared" si="3"/>
        <v>0</v>
      </c>
      <c r="T77" s="34">
        <f t="shared" si="4"/>
        <v>0</v>
      </c>
      <c r="U77" s="34">
        <f t="shared" si="10"/>
        <v>0</v>
      </c>
      <c r="V77" s="34">
        <f t="shared" si="6"/>
        <v>0</v>
      </c>
      <c r="W77" s="35">
        <f t="shared" si="7"/>
        <v>0</v>
      </c>
    </row>
    <row r="78" spans="14:23" ht="12.75">
      <c r="N78" s="33">
        <f t="shared" si="0"/>
        <v>0</v>
      </c>
      <c r="O78" s="33">
        <f t="shared" si="9"/>
        <v>0</v>
      </c>
      <c r="P78" s="52">
        <f>IF($N$59=$N$21,3.25,0)</f>
        <v>0</v>
      </c>
      <c r="Q78" s="34">
        <f t="shared" si="1"/>
        <v>0</v>
      </c>
      <c r="R78" s="34">
        <f t="shared" si="2"/>
        <v>0</v>
      </c>
      <c r="S78" s="34">
        <f t="shared" si="3"/>
        <v>0</v>
      </c>
      <c r="T78" s="34">
        <f t="shared" si="4"/>
        <v>0</v>
      </c>
      <c r="U78" s="34">
        <f t="shared" si="10"/>
        <v>0</v>
      </c>
      <c r="V78" s="34">
        <f t="shared" si="6"/>
        <v>0</v>
      </c>
      <c r="W78" s="35">
        <f t="shared" si="7"/>
        <v>0</v>
      </c>
    </row>
    <row r="79" spans="14:23" ht="12.75">
      <c r="N79" s="33">
        <f t="shared" si="0"/>
        <v>0</v>
      </c>
      <c r="O79" s="33">
        <f t="shared" si="9"/>
        <v>0</v>
      </c>
      <c r="P79" s="52">
        <f>IF($N$59=$N$21,3.2,0)</f>
        <v>0</v>
      </c>
      <c r="Q79" s="34">
        <f t="shared" si="1"/>
        <v>0</v>
      </c>
      <c r="R79" s="34">
        <f t="shared" si="2"/>
        <v>0</v>
      </c>
      <c r="S79" s="34">
        <f t="shared" si="3"/>
        <v>0</v>
      </c>
      <c r="T79" s="34">
        <f t="shared" si="4"/>
        <v>0</v>
      </c>
      <c r="U79" s="34">
        <f t="shared" si="10"/>
        <v>0</v>
      </c>
      <c r="V79" s="34">
        <f t="shared" si="6"/>
        <v>0</v>
      </c>
      <c r="W79" s="35">
        <f t="shared" si="7"/>
        <v>0</v>
      </c>
    </row>
    <row r="80" spans="14:23" ht="12.75">
      <c r="N80" s="33">
        <f t="shared" si="0"/>
        <v>0</v>
      </c>
      <c r="O80" s="33">
        <f t="shared" si="9"/>
        <v>0</v>
      </c>
      <c r="P80" s="52">
        <f>IF($N$59=$N$21,3.2,0)</f>
        <v>0</v>
      </c>
      <c r="Q80" s="34">
        <f t="shared" si="1"/>
        <v>0</v>
      </c>
      <c r="R80" s="34">
        <f t="shared" si="2"/>
        <v>0</v>
      </c>
      <c r="S80" s="34">
        <f t="shared" si="3"/>
        <v>0</v>
      </c>
      <c r="T80" s="34">
        <f t="shared" si="4"/>
        <v>0</v>
      </c>
      <c r="U80" s="34">
        <f t="shared" si="10"/>
        <v>0</v>
      </c>
      <c r="V80" s="34">
        <f t="shared" si="6"/>
        <v>0</v>
      </c>
      <c r="W80" s="35">
        <f t="shared" si="7"/>
        <v>0</v>
      </c>
    </row>
    <row r="81" spans="14:23" ht="12.75">
      <c r="N81" s="33">
        <f t="shared" si="0"/>
        <v>0</v>
      </c>
      <c r="O81" s="33">
        <f t="shared" si="9"/>
        <v>0</v>
      </c>
      <c r="P81" s="52">
        <f>IF($N$59=$N$21,3.2,0)</f>
        <v>0</v>
      </c>
      <c r="Q81" s="34">
        <f t="shared" si="1"/>
        <v>0</v>
      </c>
      <c r="R81" s="34">
        <f t="shared" si="2"/>
        <v>0</v>
      </c>
      <c r="S81" s="34">
        <f t="shared" si="3"/>
        <v>0</v>
      </c>
      <c r="T81" s="34">
        <f t="shared" si="4"/>
        <v>0</v>
      </c>
      <c r="U81" s="34">
        <f t="shared" si="10"/>
        <v>0</v>
      </c>
      <c r="V81" s="34">
        <f t="shared" si="6"/>
        <v>0</v>
      </c>
      <c r="W81" s="35">
        <f t="shared" si="7"/>
        <v>0</v>
      </c>
    </row>
    <row r="82" spans="14:23" ht="12.75">
      <c r="N82" s="33">
        <f t="shared" si="0"/>
        <v>0</v>
      </c>
      <c r="O82" s="33">
        <f t="shared" si="9"/>
        <v>0</v>
      </c>
      <c r="P82" s="52">
        <f>IF($N$59=$N$21,3.3,0)</f>
        <v>0</v>
      </c>
      <c r="Q82" s="34">
        <f t="shared" si="1"/>
        <v>0</v>
      </c>
      <c r="R82" s="34">
        <f t="shared" si="2"/>
        <v>0</v>
      </c>
      <c r="S82" s="34">
        <f t="shared" si="3"/>
        <v>0</v>
      </c>
      <c r="T82" s="34">
        <f t="shared" si="4"/>
        <v>0</v>
      </c>
      <c r="U82" s="34">
        <f aca="true" t="shared" si="11" ref="U82:U89">IF($B$2=H12,1,0)</f>
        <v>0</v>
      </c>
      <c r="V82" s="34">
        <f t="shared" si="6"/>
        <v>0</v>
      </c>
      <c r="W82" s="35">
        <f t="shared" si="7"/>
        <v>0</v>
      </c>
    </row>
    <row r="83" spans="14:23" ht="12.75">
      <c r="N83" s="33">
        <f t="shared" si="0"/>
        <v>0</v>
      </c>
      <c r="O83" s="33">
        <f t="shared" si="9"/>
        <v>0</v>
      </c>
      <c r="P83" s="52">
        <f>IF($N$59=$N$21,3.2,0)</f>
        <v>0</v>
      </c>
      <c r="Q83" s="34">
        <f t="shared" si="1"/>
        <v>0</v>
      </c>
      <c r="R83" s="34">
        <f t="shared" si="2"/>
        <v>0</v>
      </c>
      <c r="S83" s="34">
        <f t="shared" si="3"/>
        <v>0</v>
      </c>
      <c r="T83" s="34">
        <f t="shared" si="4"/>
        <v>0</v>
      </c>
      <c r="U83" s="34">
        <f t="shared" si="11"/>
        <v>0</v>
      </c>
      <c r="V83" s="34">
        <f t="shared" si="6"/>
        <v>0</v>
      </c>
      <c r="W83" s="35">
        <f t="shared" si="7"/>
        <v>0</v>
      </c>
    </row>
    <row r="84" spans="14:23" ht="12.75">
      <c r="N84" s="33">
        <f t="shared" si="0"/>
        <v>0</v>
      </c>
      <c r="O84" s="33">
        <f t="shared" si="9"/>
        <v>0</v>
      </c>
      <c r="P84" s="52">
        <f>IF($N$59=$N$21,3.6,0)</f>
        <v>0</v>
      </c>
      <c r="Q84" s="34">
        <f t="shared" si="1"/>
        <v>0</v>
      </c>
      <c r="R84" s="34">
        <f t="shared" si="2"/>
        <v>0</v>
      </c>
      <c r="S84" s="34">
        <f t="shared" si="3"/>
        <v>0</v>
      </c>
      <c r="T84" s="34">
        <f t="shared" si="4"/>
        <v>0</v>
      </c>
      <c r="U84" s="34">
        <f t="shared" si="11"/>
        <v>0</v>
      </c>
      <c r="V84" s="34">
        <f t="shared" si="6"/>
        <v>0</v>
      </c>
      <c r="W84" s="35">
        <f t="shared" si="7"/>
        <v>0</v>
      </c>
    </row>
    <row r="85" spans="14:23" ht="12.75">
      <c r="N85" s="33">
        <f t="shared" si="0"/>
        <v>0</v>
      </c>
      <c r="O85" s="33">
        <f t="shared" si="9"/>
        <v>0</v>
      </c>
      <c r="P85" s="52">
        <f>IF($N$59=$N$21,3.5,0)</f>
        <v>0</v>
      </c>
      <c r="Q85" s="34">
        <f t="shared" si="1"/>
        <v>0</v>
      </c>
      <c r="R85" s="34">
        <f t="shared" si="2"/>
        <v>0</v>
      </c>
      <c r="S85" s="34">
        <f t="shared" si="3"/>
        <v>0</v>
      </c>
      <c r="T85" s="34">
        <f t="shared" si="4"/>
        <v>0</v>
      </c>
      <c r="U85" s="34">
        <f t="shared" si="11"/>
        <v>0</v>
      </c>
      <c r="V85" s="34">
        <f t="shared" si="6"/>
        <v>0</v>
      </c>
      <c r="W85" s="35">
        <f t="shared" si="7"/>
        <v>0</v>
      </c>
    </row>
    <row r="86" spans="14:23" ht="12.75">
      <c r="N86" s="33">
        <f t="shared" si="0"/>
        <v>0</v>
      </c>
      <c r="O86" s="33">
        <f t="shared" si="9"/>
        <v>0</v>
      </c>
      <c r="P86" s="52">
        <f>IF($N$59=$N$21,3.5,0)</f>
        <v>0</v>
      </c>
      <c r="Q86" s="34">
        <f t="shared" si="1"/>
        <v>0</v>
      </c>
      <c r="R86" s="34">
        <f t="shared" si="2"/>
        <v>0</v>
      </c>
      <c r="S86" s="34">
        <f t="shared" si="3"/>
        <v>0</v>
      </c>
      <c r="T86" s="34">
        <f t="shared" si="4"/>
        <v>0</v>
      </c>
      <c r="U86" s="34">
        <f t="shared" si="11"/>
        <v>1</v>
      </c>
      <c r="V86" s="34">
        <f t="shared" si="6"/>
        <v>1</v>
      </c>
      <c r="W86" s="35">
        <f t="shared" si="7"/>
        <v>0</v>
      </c>
    </row>
    <row r="87" spans="14:23" ht="12.75">
      <c r="N87" s="33">
        <f t="shared" si="0"/>
        <v>0</v>
      </c>
      <c r="O87" s="33">
        <f t="shared" si="9"/>
        <v>0</v>
      </c>
      <c r="P87" s="52">
        <f>IF($N$59=$N$21,3.4,0)</f>
        <v>0</v>
      </c>
      <c r="Q87" s="34">
        <f t="shared" si="1"/>
        <v>0</v>
      </c>
      <c r="R87" s="34">
        <f t="shared" si="2"/>
        <v>0</v>
      </c>
      <c r="S87" s="34">
        <f t="shared" si="3"/>
        <v>0</v>
      </c>
      <c r="T87" s="34">
        <f t="shared" si="4"/>
        <v>0</v>
      </c>
      <c r="U87" s="34">
        <f t="shared" si="11"/>
        <v>0</v>
      </c>
      <c r="V87" s="34">
        <f t="shared" si="6"/>
        <v>0</v>
      </c>
      <c r="W87" s="35">
        <f t="shared" si="7"/>
        <v>0</v>
      </c>
    </row>
    <row r="88" spans="14:23" ht="12.75">
      <c r="N88" s="33">
        <f t="shared" si="0"/>
        <v>0</v>
      </c>
      <c r="O88" s="33">
        <f t="shared" si="9"/>
        <v>0</v>
      </c>
      <c r="P88" s="52">
        <f>IF($N$59=$N$21,3.3,0)</f>
        <v>0</v>
      </c>
      <c r="Q88" s="34">
        <f t="shared" si="1"/>
        <v>0</v>
      </c>
      <c r="R88" s="34">
        <f t="shared" si="2"/>
        <v>0</v>
      </c>
      <c r="S88" s="34">
        <f t="shared" si="3"/>
        <v>0</v>
      </c>
      <c r="T88" s="34">
        <f t="shared" si="4"/>
        <v>0</v>
      </c>
      <c r="U88" s="34">
        <f t="shared" si="11"/>
        <v>0</v>
      </c>
      <c r="V88" s="34">
        <f t="shared" si="6"/>
        <v>0</v>
      </c>
      <c r="W88" s="35">
        <f t="shared" si="7"/>
        <v>0</v>
      </c>
    </row>
    <row r="89" spans="14:23" ht="12.75">
      <c r="N89" s="33">
        <f t="shared" si="0"/>
        <v>0</v>
      </c>
      <c r="O89" s="33">
        <f t="shared" si="9"/>
        <v>0</v>
      </c>
      <c r="P89" s="52">
        <f>IF($N$59=$N$21,4.1,0)</f>
        <v>0</v>
      </c>
      <c r="Q89" s="34">
        <f t="shared" si="1"/>
        <v>0</v>
      </c>
      <c r="R89" s="34">
        <f t="shared" si="2"/>
        <v>0</v>
      </c>
      <c r="S89" s="34">
        <f t="shared" si="3"/>
        <v>0</v>
      </c>
      <c r="T89" s="34">
        <f t="shared" si="4"/>
        <v>0</v>
      </c>
      <c r="U89" s="34">
        <f t="shared" si="11"/>
        <v>0</v>
      </c>
      <c r="V89" s="34">
        <f t="shared" si="6"/>
        <v>0</v>
      </c>
      <c r="W89" s="35">
        <f t="shared" si="7"/>
        <v>0</v>
      </c>
    </row>
    <row r="90" spans="14:24" ht="12.75">
      <c r="N90" s="36">
        <f t="shared" si="0"/>
        <v>0</v>
      </c>
      <c r="O90" s="36">
        <f aca="true" t="shared" si="12" ref="O90:O103">IF(N44=N6,P90,O200)</f>
        <v>0</v>
      </c>
      <c r="P90" s="53">
        <f>IF($N$60=$N$22,3.15,0)</f>
        <v>0</v>
      </c>
      <c r="Q90" s="37">
        <f t="shared" si="1"/>
        <v>0</v>
      </c>
      <c r="R90" s="37">
        <f t="shared" si="2"/>
        <v>0</v>
      </c>
      <c r="S90" s="37">
        <f t="shared" si="3"/>
        <v>0</v>
      </c>
      <c r="T90" s="37">
        <f t="shared" si="4"/>
        <v>0</v>
      </c>
      <c r="U90" s="37">
        <f>IF($B$2=H6,1,0)</f>
        <v>0</v>
      </c>
      <c r="V90" s="37">
        <f t="shared" si="6"/>
        <v>0</v>
      </c>
      <c r="W90" s="38">
        <f t="shared" si="7"/>
        <v>0</v>
      </c>
      <c r="X90" s="37"/>
    </row>
    <row r="91" spans="14:23" ht="12.75">
      <c r="N91" s="36">
        <f t="shared" si="0"/>
        <v>0</v>
      </c>
      <c r="O91" s="36">
        <f t="shared" si="12"/>
        <v>0</v>
      </c>
      <c r="P91" s="53">
        <f>IF($N$60=$N$22,3.1,0)</f>
        <v>0</v>
      </c>
      <c r="Q91" s="37">
        <f aca="true" t="shared" si="13" ref="Q91:Q103">IF(N91=0,0,1)</f>
        <v>0</v>
      </c>
      <c r="R91" s="37">
        <f aca="true" t="shared" si="14" ref="R91:R103">IF(O91=0,0,1)</f>
        <v>0</v>
      </c>
      <c r="S91" s="37">
        <f aca="true" t="shared" si="15" ref="S91:S103">IF(P91=0,0,1)</f>
        <v>0</v>
      </c>
      <c r="T91" s="37">
        <f aca="true" t="shared" si="16" ref="T91:T103">IF(Q91+R91+S91=3,3,0)</f>
        <v>0</v>
      </c>
      <c r="U91" s="37">
        <f aca="true" t="shared" si="17" ref="U91:U103">IF($B$2=H7,1,0)</f>
        <v>0</v>
      </c>
      <c r="V91" s="37">
        <f aca="true" t="shared" si="18" ref="V91:V103">T91+U91</f>
        <v>0</v>
      </c>
      <c r="W91" s="38">
        <f aca="true" t="shared" si="19" ref="W91:W103">IF(V91=4,P91,0)</f>
        <v>0</v>
      </c>
    </row>
    <row r="92" spans="14:23" ht="12.75">
      <c r="N92" s="36">
        <f t="shared" si="0"/>
        <v>0</v>
      </c>
      <c r="O92" s="36">
        <f t="shared" si="12"/>
        <v>0</v>
      </c>
      <c r="P92" s="53">
        <f>IF($N$60=$N$22,3.05,0)</f>
        <v>0</v>
      </c>
      <c r="Q92" s="37">
        <f t="shared" si="13"/>
        <v>0</v>
      </c>
      <c r="R92" s="37">
        <f t="shared" si="14"/>
        <v>0</v>
      </c>
      <c r="S92" s="37">
        <f t="shared" si="15"/>
        <v>0</v>
      </c>
      <c r="T92" s="37">
        <f t="shared" si="16"/>
        <v>0</v>
      </c>
      <c r="U92" s="37">
        <f t="shared" si="17"/>
        <v>0</v>
      </c>
      <c r="V92" s="37">
        <f t="shared" si="18"/>
        <v>0</v>
      </c>
      <c r="W92" s="38">
        <f t="shared" si="19"/>
        <v>0</v>
      </c>
    </row>
    <row r="93" spans="14:23" ht="12.75">
      <c r="N93" s="36">
        <f t="shared" si="0"/>
        <v>0</v>
      </c>
      <c r="O93" s="36">
        <f t="shared" si="12"/>
        <v>0</v>
      </c>
      <c r="P93" s="53">
        <f>IF($N$60=$N$22,3,0)</f>
        <v>0</v>
      </c>
      <c r="Q93" s="37">
        <f t="shared" si="13"/>
        <v>0</v>
      </c>
      <c r="R93" s="37">
        <f t="shared" si="14"/>
        <v>0</v>
      </c>
      <c r="S93" s="37">
        <f t="shared" si="15"/>
        <v>0</v>
      </c>
      <c r="T93" s="37">
        <f t="shared" si="16"/>
        <v>0</v>
      </c>
      <c r="U93" s="37">
        <f t="shared" si="17"/>
        <v>0</v>
      </c>
      <c r="V93" s="37">
        <f t="shared" si="18"/>
        <v>0</v>
      </c>
      <c r="W93" s="38">
        <f t="shared" si="19"/>
        <v>0</v>
      </c>
    </row>
    <row r="94" spans="14:23" ht="12.75">
      <c r="N94" s="36">
        <f aca="true" t="shared" si="20" ref="N94:N117">IF($B$4=$N$24,O94,0)</f>
        <v>0</v>
      </c>
      <c r="O94" s="36">
        <f t="shared" si="12"/>
        <v>0</v>
      </c>
      <c r="P94" s="53">
        <f>IF($N$60=$N$22,3,0)</f>
        <v>0</v>
      </c>
      <c r="Q94" s="37">
        <f t="shared" si="13"/>
        <v>0</v>
      </c>
      <c r="R94" s="37">
        <f t="shared" si="14"/>
        <v>0</v>
      </c>
      <c r="S94" s="37">
        <f t="shared" si="15"/>
        <v>0</v>
      </c>
      <c r="T94" s="37">
        <f t="shared" si="16"/>
        <v>0</v>
      </c>
      <c r="U94" s="37">
        <f t="shared" si="17"/>
        <v>0</v>
      </c>
      <c r="V94" s="37">
        <f t="shared" si="18"/>
        <v>0</v>
      </c>
      <c r="W94" s="38">
        <f t="shared" si="19"/>
        <v>0</v>
      </c>
    </row>
    <row r="95" spans="14:23" ht="12.75">
      <c r="N95" s="36">
        <f t="shared" si="20"/>
        <v>0</v>
      </c>
      <c r="O95" s="36">
        <f t="shared" si="12"/>
        <v>0</v>
      </c>
      <c r="P95" s="53">
        <f>IF($N$60=$N$22,3,0)</f>
        <v>0</v>
      </c>
      <c r="Q95" s="37">
        <f t="shared" si="13"/>
        <v>0</v>
      </c>
      <c r="R95" s="37">
        <f t="shared" si="14"/>
        <v>0</v>
      </c>
      <c r="S95" s="37">
        <f t="shared" si="15"/>
        <v>0</v>
      </c>
      <c r="T95" s="37">
        <f t="shared" si="16"/>
        <v>0</v>
      </c>
      <c r="U95" s="37">
        <f t="shared" si="17"/>
        <v>0</v>
      </c>
      <c r="V95" s="37">
        <f t="shared" si="18"/>
        <v>0</v>
      </c>
      <c r="W95" s="38">
        <f t="shared" si="19"/>
        <v>0</v>
      </c>
    </row>
    <row r="96" spans="14:23" ht="12.75">
      <c r="N96" s="36">
        <f t="shared" si="20"/>
        <v>0</v>
      </c>
      <c r="O96" s="36">
        <f t="shared" si="12"/>
        <v>0</v>
      </c>
      <c r="P96" s="53">
        <f>IF($N$60=$N$22,3.1,0)</f>
        <v>0</v>
      </c>
      <c r="Q96" s="37">
        <f t="shared" si="13"/>
        <v>0</v>
      </c>
      <c r="R96" s="37">
        <f t="shared" si="14"/>
        <v>0</v>
      </c>
      <c r="S96" s="37">
        <f t="shared" si="15"/>
        <v>0</v>
      </c>
      <c r="T96" s="37">
        <f t="shared" si="16"/>
        <v>0</v>
      </c>
      <c r="U96" s="37">
        <f t="shared" si="17"/>
        <v>0</v>
      </c>
      <c r="V96" s="37">
        <f t="shared" si="18"/>
        <v>0</v>
      </c>
      <c r="W96" s="38">
        <f t="shared" si="19"/>
        <v>0</v>
      </c>
    </row>
    <row r="97" spans="14:23" ht="12.75">
      <c r="N97" s="36">
        <f t="shared" si="20"/>
        <v>0</v>
      </c>
      <c r="O97" s="36">
        <f t="shared" si="12"/>
        <v>0</v>
      </c>
      <c r="P97" s="53">
        <f>IF($N$60=$N$22,3,0)</f>
        <v>0</v>
      </c>
      <c r="Q97" s="37">
        <f t="shared" si="13"/>
        <v>0</v>
      </c>
      <c r="R97" s="37">
        <f t="shared" si="14"/>
        <v>0</v>
      </c>
      <c r="S97" s="37">
        <f t="shared" si="15"/>
        <v>0</v>
      </c>
      <c r="T97" s="37">
        <f t="shared" si="16"/>
        <v>0</v>
      </c>
      <c r="U97" s="37">
        <f t="shared" si="17"/>
        <v>0</v>
      </c>
      <c r="V97" s="37">
        <f t="shared" si="18"/>
        <v>0</v>
      </c>
      <c r="W97" s="38">
        <f t="shared" si="19"/>
        <v>0</v>
      </c>
    </row>
    <row r="98" spans="14:23" ht="12.75">
      <c r="N98" s="36">
        <f t="shared" si="20"/>
        <v>0</v>
      </c>
      <c r="O98" s="36">
        <f t="shared" si="12"/>
        <v>0</v>
      </c>
      <c r="P98" s="53">
        <f>IF($N$60=$N$22,3.5,0)</f>
        <v>0</v>
      </c>
      <c r="Q98" s="37">
        <f t="shared" si="13"/>
        <v>0</v>
      </c>
      <c r="R98" s="37">
        <f t="shared" si="14"/>
        <v>0</v>
      </c>
      <c r="S98" s="37">
        <f t="shared" si="15"/>
        <v>0</v>
      </c>
      <c r="T98" s="37">
        <f t="shared" si="16"/>
        <v>0</v>
      </c>
      <c r="U98" s="37">
        <f t="shared" si="17"/>
        <v>0</v>
      </c>
      <c r="V98" s="37">
        <f t="shared" si="18"/>
        <v>0</v>
      </c>
      <c r="W98" s="38">
        <f t="shared" si="19"/>
        <v>0</v>
      </c>
    </row>
    <row r="99" spans="14:23" ht="12.75">
      <c r="N99" s="36">
        <f t="shared" si="20"/>
        <v>0</v>
      </c>
      <c r="O99" s="36">
        <f t="shared" si="12"/>
        <v>0</v>
      </c>
      <c r="P99" s="53">
        <f>IF($N$60=$N$22,3.4,0)</f>
        <v>0</v>
      </c>
      <c r="Q99" s="37">
        <f t="shared" si="13"/>
        <v>0</v>
      </c>
      <c r="R99" s="37">
        <f t="shared" si="14"/>
        <v>0</v>
      </c>
      <c r="S99" s="37">
        <f t="shared" si="15"/>
        <v>0</v>
      </c>
      <c r="T99" s="37">
        <f t="shared" si="16"/>
        <v>0</v>
      </c>
      <c r="U99" s="37">
        <f t="shared" si="17"/>
        <v>0</v>
      </c>
      <c r="V99" s="37">
        <f t="shared" si="18"/>
        <v>0</v>
      </c>
      <c r="W99" s="38">
        <f t="shared" si="19"/>
        <v>0</v>
      </c>
    </row>
    <row r="100" spans="14:23" ht="12.75">
      <c r="N100" s="36">
        <f t="shared" si="20"/>
        <v>0</v>
      </c>
      <c r="O100" s="36">
        <f t="shared" si="12"/>
        <v>0</v>
      </c>
      <c r="P100" s="53">
        <f>IF($N$60=$N$22,3.3,0)</f>
        <v>0</v>
      </c>
      <c r="Q100" s="37">
        <f t="shared" si="13"/>
        <v>0</v>
      </c>
      <c r="R100" s="37">
        <f t="shared" si="14"/>
        <v>0</v>
      </c>
      <c r="S100" s="37">
        <f t="shared" si="15"/>
        <v>0</v>
      </c>
      <c r="T100" s="37">
        <f t="shared" si="16"/>
        <v>0</v>
      </c>
      <c r="U100" s="37">
        <f t="shared" si="17"/>
        <v>1</v>
      </c>
      <c r="V100" s="37">
        <f t="shared" si="18"/>
        <v>1</v>
      </c>
      <c r="W100" s="38">
        <f t="shared" si="19"/>
        <v>0</v>
      </c>
    </row>
    <row r="101" spans="14:23" ht="12.75">
      <c r="N101" s="36">
        <f t="shared" si="20"/>
        <v>0</v>
      </c>
      <c r="O101" s="36">
        <f t="shared" si="12"/>
        <v>0</v>
      </c>
      <c r="P101" s="53">
        <f>IF($N$60=$N$22,3.2,0)</f>
        <v>0</v>
      </c>
      <c r="Q101" s="37">
        <f t="shared" si="13"/>
        <v>0</v>
      </c>
      <c r="R101" s="37">
        <f t="shared" si="14"/>
        <v>0</v>
      </c>
      <c r="S101" s="37">
        <f t="shared" si="15"/>
        <v>0</v>
      </c>
      <c r="T101" s="37">
        <f t="shared" si="16"/>
        <v>0</v>
      </c>
      <c r="U101" s="37">
        <f t="shared" si="17"/>
        <v>0</v>
      </c>
      <c r="V101" s="37">
        <f t="shared" si="18"/>
        <v>0</v>
      </c>
      <c r="W101" s="38">
        <f t="shared" si="19"/>
        <v>0</v>
      </c>
    </row>
    <row r="102" spans="14:23" ht="12.75">
      <c r="N102" s="36">
        <f t="shared" si="20"/>
        <v>0</v>
      </c>
      <c r="O102" s="36">
        <f t="shared" si="12"/>
        <v>0</v>
      </c>
      <c r="P102" s="53">
        <f>IF($N$60=$N$22,3.1,0)</f>
        <v>0</v>
      </c>
      <c r="Q102" s="37">
        <f t="shared" si="13"/>
        <v>0</v>
      </c>
      <c r="R102" s="37">
        <f t="shared" si="14"/>
        <v>0</v>
      </c>
      <c r="S102" s="37">
        <f t="shared" si="15"/>
        <v>0</v>
      </c>
      <c r="T102" s="37">
        <f t="shared" si="16"/>
        <v>0</v>
      </c>
      <c r="U102" s="37">
        <f t="shared" si="17"/>
        <v>0</v>
      </c>
      <c r="V102" s="37">
        <f t="shared" si="18"/>
        <v>0</v>
      </c>
      <c r="W102" s="38">
        <f t="shared" si="19"/>
        <v>0</v>
      </c>
    </row>
    <row r="103" spans="14:23" ht="12.75">
      <c r="N103" s="36">
        <f t="shared" si="20"/>
        <v>0</v>
      </c>
      <c r="O103" s="36">
        <f t="shared" si="12"/>
        <v>0</v>
      </c>
      <c r="P103" s="53">
        <f>IF($N$60=$N$22,3.9,0)</f>
        <v>0</v>
      </c>
      <c r="Q103" s="37">
        <f t="shared" si="13"/>
        <v>0</v>
      </c>
      <c r="R103" s="37">
        <f t="shared" si="14"/>
        <v>0</v>
      </c>
      <c r="S103" s="37">
        <f t="shared" si="15"/>
        <v>0</v>
      </c>
      <c r="T103" s="37">
        <f t="shared" si="16"/>
        <v>0</v>
      </c>
      <c r="U103" s="37">
        <f t="shared" si="17"/>
        <v>0</v>
      </c>
      <c r="V103" s="37">
        <f t="shared" si="18"/>
        <v>0</v>
      </c>
      <c r="W103" s="38">
        <f t="shared" si="19"/>
        <v>0</v>
      </c>
    </row>
    <row r="104" spans="14:23" ht="12.75">
      <c r="N104" s="39">
        <f t="shared" si="20"/>
        <v>0</v>
      </c>
      <c r="O104" s="39">
        <f aca="true" t="shared" si="21" ref="O104:O117">IF(N44=N6,P104,O214)</f>
        <v>0</v>
      </c>
      <c r="P104" s="54">
        <f>IF($N$61=$N$23,3.05,0)</f>
        <v>0</v>
      </c>
      <c r="Q104" s="40">
        <f aca="true" t="shared" si="22" ref="Q104:S105">IF(N104=0,0,1)</f>
        <v>0</v>
      </c>
      <c r="R104" s="40">
        <f t="shared" si="22"/>
        <v>0</v>
      </c>
      <c r="S104" s="40">
        <f t="shared" si="22"/>
        <v>0</v>
      </c>
      <c r="T104" s="40">
        <f>IF(Q104+R104+S104=3,3,0)</f>
        <v>0</v>
      </c>
      <c r="U104" s="40">
        <f>IF($B$2=H6,1,0)</f>
        <v>0</v>
      </c>
      <c r="V104" s="40">
        <f>T104+U104</f>
        <v>0</v>
      </c>
      <c r="W104" s="41">
        <f>IF(V104=4,P104,0)</f>
        <v>0</v>
      </c>
    </row>
    <row r="105" spans="14:23" ht="12.75">
      <c r="N105" s="39">
        <f t="shared" si="20"/>
        <v>0</v>
      </c>
      <c r="O105" s="39">
        <f t="shared" si="21"/>
        <v>0</v>
      </c>
      <c r="P105" s="54">
        <f>IF($N$61=$N$23,3,0)</f>
        <v>0</v>
      </c>
      <c r="Q105" s="40">
        <f t="shared" si="22"/>
        <v>0</v>
      </c>
      <c r="R105" s="40">
        <f t="shared" si="22"/>
        <v>0</v>
      </c>
      <c r="S105" s="40">
        <f t="shared" si="22"/>
        <v>0</v>
      </c>
      <c r="T105" s="40">
        <f>IF(Q105+R105+S105=3,3,0)</f>
        <v>0</v>
      </c>
      <c r="U105" s="40">
        <f>IF($B$2=H7,1,0)</f>
        <v>0</v>
      </c>
      <c r="V105" s="40">
        <f>T105+U105</f>
        <v>0</v>
      </c>
      <c r="W105" s="41">
        <f>IF(V105=4,P105,0)</f>
        <v>0</v>
      </c>
    </row>
    <row r="106" spans="14:23" ht="12.75">
      <c r="N106" s="39">
        <f t="shared" si="20"/>
        <v>0</v>
      </c>
      <c r="O106" s="39">
        <f t="shared" si="21"/>
        <v>0</v>
      </c>
      <c r="P106" s="54">
        <f>IF($N$61=$N$23,2.95,0)</f>
        <v>0</v>
      </c>
      <c r="Q106" s="40">
        <f aca="true" t="shared" si="23" ref="Q106:Q117">IF(N106=0,0,1)</f>
        <v>0</v>
      </c>
      <c r="R106" s="40">
        <f aca="true" t="shared" si="24" ref="R106:R117">IF(O106=0,0,1)</f>
        <v>0</v>
      </c>
      <c r="S106" s="40">
        <f aca="true" t="shared" si="25" ref="S106:S117">IF(P106=0,0,1)</f>
        <v>0</v>
      </c>
      <c r="T106" s="40">
        <f aca="true" t="shared" si="26" ref="T106:T117">IF(Q106+R106+S106=3,3,0)</f>
        <v>0</v>
      </c>
      <c r="U106" s="40">
        <f aca="true" t="shared" si="27" ref="U106:U117">IF($B$2=H8,1,0)</f>
        <v>0</v>
      </c>
      <c r="V106" s="40">
        <f aca="true" t="shared" si="28" ref="V106:V117">T106+U106</f>
        <v>0</v>
      </c>
      <c r="W106" s="41">
        <f aca="true" t="shared" si="29" ref="W106:W117">IF(V106=4,P106,0)</f>
        <v>0</v>
      </c>
    </row>
    <row r="107" spans="14:23" ht="12.75">
      <c r="N107" s="39">
        <f t="shared" si="20"/>
        <v>0</v>
      </c>
      <c r="O107" s="39">
        <f t="shared" si="21"/>
        <v>0</v>
      </c>
      <c r="P107" s="54">
        <f>IF($N$61=$N$23,2.9,0)</f>
        <v>0</v>
      </c>
      <c r="Q107" s="40">
        <f t="shared" si="23"/>
        <v>0</v>
      </c>
      <c r="R107" s="40">
        <f t="shared" si="24"/>
        <v>0</v>
      </c>
      <c r="S107" s="40">
        <f t="shared" si="25"/>
        <v>0</v>
      </c>
      <c r="T107" s="40">
        <f t="shared" si="26"/>
        <v>0</v>
      </c>
      <c r="U107" s="40">
        <f t="shared" si="27"/>
        <v>0</v>
      </c>
      <c r="V107" s="40">
        <f t="shared" si="28"/>
        <v>0</v>
      </c>
      <c r="W107" s="41">
        <f t="shared" si="29"/>
        <v>0</v>
      </c>
    </row>
    <row r="108" spans="14:23" ht="12.75">
      <c r="N108" s="39">
        <f t="shared" si="20"/>
        <v>0</v>
      </c>
      <c r="O108" s="39">
        <f t="shared" si="21"/>
        <v>0</v>
      </c>
      <c r="P108" s="54">
        <f>IF($N$61=$N$23,2.85,0)</f>
        <v>0</v>
      </c>
      <c r="Q108" s="40">
        <f t="shared" si="23"/>
        <v>0</v>
      </c>
      <c r="R108" s="40">
        <f t="shared" si="24"/>
        <v>0</v>
      </c>
      <c r="S108" s="40">
        <f t="shared" si="25"/>
        <v>0</v>
      </c>
      <c r="T108" s="40">
        <f t="shared" si="26"/>
        <v>0</v>
      </c>
      <c r="U108" s="40">
        <f t="shared" si="27"/>
        <v>0</v>
      </c>
      <c r="V108" s="40">
        <f t="shared" si="28"/>
        <v>0</v>
      </c>
      <c r="W108" s="41">
        <f t="shared" si="29"/>
        <v>0</v>
      </c>
    </row>
    <row r="109" spans="14:23" ht="12.75">
      <c r="N109" s="39">
        <f t="shared" si="20"/>
        <v>0</v>
      </c>
      <c r="O109" s="39">
        <f t="shared" si="21"/>
        <v>0</v>
      </c>
      <c r="P109" s="54">
        <f>IF($N$61=$N$23,2.8,0)</f>
        <v>0</v>
      </c>
      <c r="Q109" s="40">
        <f t="shared" si="23"/>
        <v>0</v>
      </c>
      <c r="R109" s="40">
        <f t="shared" si="24"/>
        <v>0</v>
      </c>
      <c r="S109" s="40">
        <f t="shared" si="25"/>
        <v>0</v>
      </c>
      <c r="T109" s="40">
        <f t="shared" si="26"/>
        <v>0</v>
      </c>
      <c r="U109" s="40">
        <f t="shared" si="27"/>
        <v>0</v>
      </c>
      <c r="V109" s="40">
        <f t="shared" si="28"/>
        <v>0</v>
      </c>
      <c r="W109" s="41">
        <f t="shared" si="29"/>
        <v>0</v>
      </c>
    </row>
    <row r="110" spans="14:23" ht="12.75">
      <c r="N110" s="39">
        <f t="shared" si="20"/>
        <v>0</v>
      </c>
      <c r="O110" s="39">
        <f t="shared" si="21"/>
        <v>0</v>
      </c>
      <c r="P110" s="54">
        <f>IF($N$61=$N$23,3,0)</f>
        <v>0</v>
      </c>
      <c r="Q110" s="40">
        <f t="shared" si="23"/>
        <v>0</v>
      </c>
      <c r="R110" s="40">
        <f t="shared" si="24"/>
        <v>0</v>
      </c>
      <c r="S110" s="40">
        <f t="shared" si="25"/>
        <v>0</v>
      </c>
      <c r="T110" s="40">
        <f t="shared" si="26"/>
        <v>0</v>
      </c>
      <c r="U110" s="40">
        <f t="shared" si="27"/>
        <v>0</v>
      </c>
      <c r="V110" s="40">
        <f t="shared" si="28"/>
        <v>0</v>
      </c>
      <c r="W110" s="41">
        <f t="shared" si="29"/>
        <v>0</v>
      </c>
    </row>
    <row r="111" spans="14:23" ht="12.75">
      <c r="N111" s="39">
        <f t="shared" si="20"/>
        <v>0</v>
      </c>
      <c r="O111" s="39">
        <f t="shared" si="21"/>
        <v>0</v>
      </c>
      <c r="P111" s="54">
        <f>IF($N$61=$N$23,2.9,0)</f>
        <v>0</v>
      </c>
      <c r="Q111" s="40">
        <f t="shared" si="23"/>
        <v>0</v>
      </c>
      <c r="R111" s="40">
        <f t="shared" si="24"/>
        <v>0</v>
      </c>
      <c r="S111" s="40">
        <f t="shared" si="25"/>
        <v>0</v>
      </c>
      <c r="T111" s="40">
        <f t="shared" si="26"/>
        <v>0</v>
      </c>
      <c r="U111" s="40">
        <f t="shared" si="27"/>
        <v>0</v>
      </c>
      <c r="V111" s="40">
        <f t="shared" si="28"/>
        <v>0</v>
      </c>
      <c r="W111" s="41">
        <f t="shared" si="29"/>
        <v>0</v>
      </c>
    </row>
    <row r="112" spans="14:23" ht="12.75">
      <c r="N112" s="39">
        <f t="shared" si="20"/>
        <v>0</v>
      </c>
      <c r="O112" s="39">
        <f t="shared" si="21"/>
        <v>0</v>
      </c>
      <c r="P112" s="54">
        <f>IF($N$61=$N$23,3.3,0)</f>
        <v>0</v>
      </c>
      <c r="Q112" s="40">
        <f t="shared" si="23"/>
        <v>0</v>
      </c>
      <c r="R112" s="40">
        <f t="shared" si="24"/>
        <v>0</v>
      </c>
      <c r="S112" s="40">
        <f t="shared" si="25"/>
        <v>0</v>
      </c>
      <c r="T112" s="40">
        <f t="shared" si="26"/>
        <v>0</v>
      </c>
      <c r="U112" s="40">
        <f t="shared" si="27"/>
        <v>0</v>
      </c>
      <c r="V112" s="40">
        <f t="shared" si="28"/>
        <v>0</v>
      </c>
      <c r="W112" s="41">
        <f t="shared" si="29"/>
        <v>0</v>
      </c>
    </row>
    <row r="113" spans="14:23" ht="12.75">
      <c r="N113" s="39">
        <f t="shared" si="20"/>
        <v>0</v>
      </c>
      <c r="O113" s="39">
        <f t="shared" si="21"/>
        <v>0</v>
      </c>
      <c r="P113" s="54">
        <f>IF($N$61=$N$23,3.2,0)</f>
        <v>0</v>
      </c>
      <c r="Q113" s="40">
        <f t="shared" si="23"/>
        <v>0</v>
      </c>
      <c r="R113" s="40">
        <f t="shared" si="24"/>
        <v>0</v>
      </c>
      <c r="S113" s="40">
        <f t="shared" si="25"/>
        <v>0</v>
      </c>
      <c r="T113" s="40">
        <f t="shared" si="26"/>
        <v>0</v>
      </c>
      <c r="U113" s="40">
        <f t="shared" si="27"/>
        <v>0</v>
      </c>
      <c r="V113" s="40">
        <f t="shared" si="28"/>
        <v>0</v>
      </c>
      <c r="W113" s="41">
        <f t="shared" si="29"/>
        <v>0</v>
      </c>
    </row>
    <row r="114" spans="14:23" ht="12.75">
      <c r="N114" s="39">
        <f t="shared" si="20"/>
        <v>0</v>
      </c>
      <c r="O114" s="39">
        <f t="shared" si="21"/>
        <v>0</v>
      </c>
      <c r="P114" s="54">
        <f>IF($N$61=$N$23,3.1,0)</f>
        <v>0</v>
      </c>
      <c r="Q114" s="40">
        <f t="shared" si="23"/>
        <v>0</v>
      </c>
      <c r="R114" s="40">
        <f t="shared" si="24"/>
        <v>0</v>
      </c>
      <c r="S114" s="40">
        <f t="shared" si="25"/>
        <v>0</v>
      </c>
      <c r="T114" s="40">
        <f t="shared" si="26"/>
        <v>0</v>
      </c>
      <c r="U114" s="40">
        <f t="shared" si="27"/>
        <v>1</v>
      </c>
      <c r="V114" s="40">
        <f t="shared" si="28"/>
        <v>1</v>
      </c>
      <c r="W114" s="41">
        <f t="shared" si="29"/>
        <v>0</v>
      </c>
    </row>
    <row r="115" spans="14:23" ht="12.75">
      <c r="N115" s="39">
        <f t="shared" si="20"/>
        <v>0</v>
      </c>
      <c r="O115" s="39">
        <f t="shared" si="21"/>
        <v>0</v>
      </c>
      <c r="P115" s="54">
        <f>IF($N$61=$N$23,3.1,0)</f>
        <v>0</v>
      </c>
      <c r="Q115" s="40">
        <f t="shared" si="23"/>
        <v>0</v>
      </c>
      <c r="R115" s="40">
        <f t="shared" si="24"/>
        <v>0</v>
      </c>
      <c r="S115" s="40">
        <f t="shared" si="25"/>
        <v>0</v>
      </c>
      <c r="T115" s="40">
        <f t="shared" si="26"/>
        <v>0</v>
      </c>
      <c r="U115" s="40">
        <f t="shared" si="27"/>
        <v>0</v>
      </c>
      <c r="V115" s="40">
        <f t="shared" si="28"/>
        <v>0</v>
      </c>
      <c r="W115" s="41">
        <f t="shared" si="29"/>
        <v>0</v>
      </c>
    </row>
    <row r="116" spans="14:23" ht="12.75">
      <c r="N116" s="39">
        <f t="shared" si="20"/>
        <v>0</v>
      </c>
      <c r="O116" s="39">
        <f t="shared" si="21"/>
        <v>0</v>
      </c>
      <c r="P116" s="54">
        <f>IF($N$61=$N$23,3,0)</f>
        <v>0</v>
      </c>
      <c r="Q116" s="40">
        <f t="shared" si="23"/>
        <v>0</v>
      </c>
      <c r="R116" s="40">
        <f t="shared" si="24"/>
        <v>0</v>
      </c>
      <c r="S116" s="40">
        <f t="shared" si="25"/>
        <v>0</v>
      </c>
      <c r="T116" s="40">
        <f t="shared" si="26"/>
        <v>0</v>
      </c>
      <c r="U116" s="40">
        <f t="shared" si="27"/>
        <v>0</v>
      </c>
      <c r="V116" s="40">
        <f t="shared" si="28"/>
        <v>0</v>
      </c>
      <c r="W116" s="41">
        <f t="shared" si="29"/>
        <v>0</v>
      </c>
    </row>
    <row r="117" spans="14:23" ht="12.75">
      <c r="N117" s="39">
        <f t="shared" si="20"/>
        <v>0</v>
      </c>
      <c r="O117" s="39">
        <f t="shared" si="21"/>
        <v>0</v>
      </c>
      <c r="P117" s="54">
        <f>IF($N$61=$N$23,3.8,0)</f>
        <v>0</v>
      </c>
      <c r="Q117" s="40">
        <f t="shared" si="23"/>
        <v>0</v>
      </c>
      <c r="R117" s="40">
        <f t="shared" si="24"/>
        <v>0</v>
      </c>
      <c r="S117" s="40">
        <f t="shared" si="25"/>
        <v>0</v>
      </c>
      <c r="T117" s="40">
        <f t="shared" si="26"/>
        <v>0</v>
      </c>
      <c r="U117" s="40">
        <f t="shared" si="27"/>
        <v>0</v>
      </c>
      <c r="V117" s="40">
        <f t="shared" si="28"/>
        <v>0</v>
      </c>
      <c r="W117" s="41">
        <f t="shared" si="29"/>
        <v>0</v>
      </c>
    </row>
    <row r="118" spans="14:23" ht="12.75">
      <c r="N118" s="16">
        <f aca="true" t="shared" si="30" ref="N118:N149">IF($B$4=$N$25,O118,0)</f>
        <v>0</v>
      </c>
      <c r="O118" s="16">
        <f>IF(N44=N6,P118,O63)</f>
        <v>0</v>
      </c>
      <c r="P118" s="51">
        <f>IF($N$58=$N$20,4.7,0)</f>
        <v>4.7</v>
      </c>
      <c r="Q118" s="1">
        <f aca="true" t="shared" si="31" ref="Q118:S120">IF(N118=0,0,1)</f>
        <v>0</v>
      </c>
      <c r="R118" s="1">
        <f t="shared" si="31"/>
        <v>0</v>
      </c>
      <c r="S118" s="1">
        <f t="shared" si="31"/>
        <v>1</v>
      </c>
      <c r="T118" s="1">
        <f>IF(Q118+R118+S118=3,3,0)</f>
        <v>0</v>
      </c>
      <c r="U118" s="1">
        <f>IF($B$2=H6,1,0)</f>
        <v>0</v>
      </c>
      <c r="V118" s="1">
        <f>T118+U118</f>
        <v>0</v>
      </c>
      <c r="W118" s="1">
        <f>IF(V118=4,P118,0)</f>
        <v>0</v>
      </c>
    </row>
    <row r="119" spans="14:23" ht="12.75">
      <c r="N119" s="16">
        <f t="shared" si="30"/>
        <v>0</v>
      </c>
      <c r="O119" s="16">
        <f>IF(N44=N7,P119,O64)</f>
        <v>0</v>
      </c>
      <c r="P119" s="51">
        <f>IF($N$58=$N$20,4.6,0)</f>
        <v>4.6</v>
      </c>
      <c r="Q119" s="1">
        <f t="shared" si="31"/>
        <v>0</v>
      </c>
      <c r="R119" s="1">
        <f t="shared" si="31"/>
        <v>0</v>
      </c>
      <c r="S119" s="1">
        <f t="shared" si="31"/>
        <v>1</v>
      </c>
      <c r="T119" s="1">
        <f>IF(Q119+R119+S119=3,3,0)</f>
        <v>0</v>
      </c>
      <c r="U119" s="1">
        <f>IF($B$2=H7,1,0)</f>
        <v>0</v>
      </c>
      <c r="V119" s="1">
        <f>T119+U119</f>
        <v>0</v>
      </c>
      <c r="W119" s="1">
        <f>IF(V119=4,P119,0)</f>
        <v>0</v>
      </c>
    </row>
    <row r="120" spans="14:23" ht="12.75">
      <c r="N120" s="16">
        <f t="shared" si="30"/>
        <v>0</v>
      </c>
      <c r="O120" s="16">
        <f>IF(N44=N8,P120,O65)</f>
        <v>0</v>
      </c>
      <c r="P120" s="51">
        <f>IF($N$58=$N$20,4.6,0)</f>
        <v>4.6</v>
      </c>
      <c r="Q120" s="1">
        <f t="shared" si="31"/>
        <v>0</v>
      </c>
      <c r="R120" s="1">
        <f t="shared" si="31"/>
        <v>0</v>
      </c>
      <c r="S120" s="1">
        <f t="shared" si="31"/>
        <v>1</v>
      </c>
      <c r="T120" s="1">
        <f>IF(Q120+R120+S120=3,3,0)</f>
        <v>0</v>
      </c>
      <c r="U120" s="1">
        <f>IF($B$2=H8,1,0)</f>
        <v>0</v>
      </c>
      <c r="V120" s="1">
        <f>T120+U120</f>
        <v>0</v>
      </c>
      <c r="W120" s="1">
        <f>IF(V120=4,P120,0)</f>
        <v>0</v>
      </c>
    </row>
    <row r="121" spans="14:23" ht="12.75">
      <c r="N121" s="16">
        <f t="shared" si="30"/>
        <v>0</v>
      </c>
      <c r="O121" s="16">
        <f aca="true" t="shared" si="32" ref="O121:O131">IF(N45=N9,P121,O66)</f>
        <v>0</v>
      </c>
      <c r="P121" s="51">
        <f>IF($N$58=$N$20,4.6,0)</f>
        <v>4.6</v>
      </c>
      <c r="Q121" s="1">
        <f aca="true" t="shared" si="33" ref="Q121:Q131">IF(N121=0,0,1)</f>
        <v>0</v>
      </c>
      <c r="R121" s="1">
        <f aca="true" t="shared" si="34" ref="R121:R131">IF(O121=0,0,1)</f>
        <v>0</v>
      </c>
      <c r="S121" s="1">
        <f aca="true" t="shared" si="35" ref="S121:S131">IF(P121=0,0,1)</f>
        <v>1</v>
      </c>
      <c r="T121" s="1">
        <f aca="true" t="shared" si="36" ref="T121:T131">IF(Q121+R121+S121=3,3,0)</f>
        <v>0</v>
      </c>
      <c r="U121" s="1">
        <f aca="true" t="shared" si="37" ref="U121:U131">IF($B$2=H9,1,0)</f>
        <v>0</v>
      </c>
      <c r="V121" s="1">
        <f aca="true" t="shared" si="38" ref="V121:V131">T121+U121</f>
        <v>0</v>
      </c>
      <c r="W121" s="1">
        <f aca="true" t="shared" si="39" ref="W121:W131">IF(V121=4,P121,0)</f>
        <v>0</v>
      </c>
    </row>
    <row r="122" spans="14:23" ht="12.75">
      <c r="N122" s="16">
        <f t="shared" si="30"/>
        <v>0</v>
      </c>
      <c r="O122" s="16">
        <f t="shared" si="32"/>
        <v>0</v>
      </c>
      <c r="P122" s="51">
        <f>IF($N$58=$N$20,4.55,0)</f>
        <v>4.55</v>
      </c>
      <c r="Q122" s="1">
        <f t="shared" si="33"/>
        <v>0</v>
      </c>
      <c r="R122" s="1">
        <f t="shared" si="34"/>
        <v>0</v>
      </c>
      <c r="S122" s="1">
        <f t="shared" si="35"/>
        <v>1</v>
      </c>
      <c r="T122" s="1">
        <f t="shared" si="36"/>
        <v>0</v>
      </c>
      <c r="U122" s="1">
        <f t="shared" si="37"/>
        <v>0</v>
      </c>
      <c r="V122" s="1">
        <f t="shared" si="38"/>
        <v>0</v>
      </c>
      <c r="W122" s="1">
        <f t="shared" si="39"/>
        <v>0</v>
      </c>
    </row>
    <row r="123" spans="14:23" ht="12.75">
      <c r="N123" s="16">
        <f t="shared" si="30"/>
        <v>0</v>
      </c>
      <c r="O123" s="16">
        <f t="shared" si="32"/>
        <v>0</v>
      </c>
      <c r="P123" s="51">
        <f>IF($N$58=$N$20,4.5,0)</f>
        <v>4.5</v>
      </c>
      <c r="Q123" s="1">
        <f t="shared" si="33"/>
        <v>0</v>
      </c>
      <c r="R123" s="1">
        <f t="shared" si="34"/>
        <v>0</v>
      </c>
      <c r="S123" s="1">
        <f t="shared" si="35"/>
        <v>1</v>
      </c>
      <c r="T123" s="1">
        <f t="shared" si="36"/>
        <v>0</v>
      </c>
      <c r="U123" s="1">
        <f t="shared" si="37"/>
        <v>0</v>
      </c>
      <c r="V123" s="1">
        <f t="shared" si="38"/>
        <v>0</v>
      </c>
      <c r="W123" s="1">
        <f t="shared" si="39"/>
        <v>0</v>
      </c>
    </row>
    <row r="124" spans="14:23" ht="12.75">
      <c r="N124" s="16">
        <f t="shared" si="30"/>
        <v>0</v>
      </c>
      <c r="O124" s="16">
        <f t="shared" si="32"/>
        <v>0</v>
      </c>
      <c r="P124" s="51">
        <f>IF($N$58=$N$20,4.6,0)</f>
        <v>4.6</v>
      </c>
      <c r="Q124" s="1">
        <f t="shared" si="33"/>
        <v>0</v>
      </c>
      <c r="R124" s="1">
        <f t="shared" si="34"/>
        <v>0</v>
      </c>
      <c r="S124" s="1">
        <f t="shared" si="35"/>
        <v>1</v>
      </c>
      <c r="T124" s="1">
        <f t="shared" si="36"/>
        <v>0</v>
      </c>
      <c r="U124" s="1">
        <f t="shared" si="37"/>
        <v>0</v>
      </c>
      <c r="V124" s="1">
        <f t="shared" si="38"/>
        <v>0</v>
      </c>
      <c r="W124" s="1">
        <f t="shared" si="39"/>
        <v>0</v>
      </c>
    </row>
    <row r="125" spans="14:23" ht="12.75">
      <c r="N125" s="16">
        <f t="shared" si="30"/>
        <v>0</v>
      </c>
      <c r="O125" s="16">
        <f t="shared" si="32"/>
        <v>0</v>
      </c>
      <c r="P125" s="51">
        <f>IF($N$58=$N$20,4.6,0)</f>
        <v>4.6</v>
      </c>
      <c r="Q125" s="1">
        <f t="shared" si="33"/>
        <v>0</v>
      </c>
      <c r="R125" s="1">
        <f t="shared" si="34"/>
        <v>0</v>
      </c>
      <c r="S125" s="1">
        <f t="shared" si="35"/>
        <v>1</v>
      </c>
      <c r="T125" s="1">
        <f t="shared" si="36"/>
        <v>0</v>
      </c>
      <c r="U125" s="1">
        <f t="shared" si="37"/>
        <v>0</v>
      </c>
      <c r="V125" s="1">
        <f t="shared" si="38"/>
        <v>0</v>
      </c>
      <c r="W125" s="1">
        <f t="shared" si="39"/>
        <v>0</v>
      </c>
    </row>
    <row r="126" spans="14:23" ht="12.75">
      <c r="N126" s="16">
        <f t="shared" si="30"/>
        <v>0</v>
      </c>
      <c r="O126" s="16">
        <f t="shared" si="32"/>
        <v>0</v>
      </c>
      <c r="P126" s="51">
        <f>IF($N$58=$N$20,5.1,0)</f>
        <v>5.1</v>
      </c>
      <c r="Q126" s="1">
        <f t="shared" si="33"/>
        <v>0</v>
      </c>
      <c r="R126" s="1">
        <f t="shared" si="34"/>
        <v>0</v>
      </c>
      <c r="S126" s="1">
        <f t="shared" si="35"/>
        <v>1</v>
      </c>
      <c r="T126" s="1">
        <f t="shared" si="36"/>
        <v>0</v>
      </c>
      <c r="U126" s="1">
        <f t="shared" si="37"/>
        <v>0</v>
      </c>
      <c r="V126" s="1">
        <f t="shared" si="38"/>
        <v>0</v>
      </c>
      <c r="W126" s="1">
        <f t="shared" si="39"/>
        <v>0</v>
      </c>
    </row>
    <row r="127" spans="14:23" ht="12.75">
      <c r="N127" s="16">
        <f t="shared" si="30"/>
        <v>5.2</v>
      </c>
      <c r="O127" s="16">
        <f t="shared" si="32"/>
        <v>5.2</v>
      </c>
      <c r="P127" s="51">
        <f>IF($N$58=$N$20,5,0)</f>
        <v>5</v>
      </c>
      <c r="Q127" s="1">
        <f t="shared" si="33"/>
        <v>1</v>
      </c>
      <c r="R127" s="1">
        <f t="shared" si="34"/>
        <v>1</v>
      </c>
      <c r="S127" s="1">
        <f t="shared" si="35"/>
        <v>1</v>
      </c>
      <c r="T127" s="1">
        <f t="shared" si="36"/>
        <v>3</v>
      </c>
      <c r="U127" s="1">
        <f t="shared" si="37"/>
        <v>0</v>
      </c>
      <c r="V127" s="1">
        <f t="shared" si="38"/>
        <v>3</v>
      </c>
      <c r="W127" s="1">
        <f t="shared" si="39"/>
        <v>0</v>
      </c>
    </row>
    <row r="128" spans="14:23" ht="12.75">
      <c r="N128" s="16">
        <f t="shared" si="30"/>
        <v>4.9</v>
      </c>
      <c r="O128" s="16">
        <f t="shared" si="32"/>
        <v>4.9</v>
      </c>
      <c r="P128" s="51">
        <f>IF($N$58=$N$20,4.9,0)</f>
        <v>4.9</v>
      </c>
      <c r="Q128" s="1">
        <f t="shared" si="33"/>
        <v>1</v>
      </c>
      <c r="R128" s="1">
        <f t="shared" si="34"/>
        <v>1</v>
      </c>
      <c r="S128" s="1">
        <f t="shared" si="35"/>
        <v>1</v>
      </c>
      <c r="T128" s="1">
        <f t="shared" si="36"/>
        <v>3</v>
      </c>
      <c r="U128" s="1">
        <f t="shared" si="37"/>
        <v>1</v>
      </c>
      <c r="V128" s="1">
        <f t="shared" si="38"/>
        <v>4</v>
      </c>
      <c r="W128" s="1">
        <f t="shared" si="39"/>
        <v>4.9</v>
      </c>
    </row>
    <row r="129" spans="14:23" ht="12.75">
      <c r="N129" s="16">
        <f t="shared" si="30"/>
        <v>0</v>
      </c>
      <c r="O129" s="16">
        <f t="shared" si="32"/>
        <v>0</v>
      </c>
      <c r="P129" s="51">
        <f>IF($N$58=$N$20,4.8,0)</f>
        <v>4.8</v>
      </c>
      <c r="Q129" s="1">
        <f t="shared" si="33"/>
        <v>0</v>
      </c>
      <c r="R129" s="1">
        <f t="shared" si="34"/>
        <v>0</v>
      </c>
      <c r="S129" s="1">
        <f t="shared" si="35"/>
        <v>1</v>
      </c>
      <c r="T129" s="1">
        <f t="shared" si="36"/>
        <v>0</v>
      </c>
      <c r="U129" s="1">
        <f t="shared" si="37"/>
        <v>0</v>
      </c>
      <c r="V129" s="1">
        <f t="shared" si="38"/>
        <v>0</v>
      </c>
      <c r="W129" s="1">
        <f t="shared" si="39"/>
        <v>0</v>
      </c>
    </row>
    <row r="130" spans="14:23" ht="12.75">
      <c r="N130" s="16">
        <f t="shared" si="30"/>
        <v>0</v>
      </c>
      <c r="O130" s="16">
        <f t="shared" si="32"/>
        <v>0</v>
      </c>
      <c r="P130" s="51">
        <f>IF($N$58=$N$20,4.6,0)</f>
        <v>4.6</v>
      </c>
      <c r="Q130" s="1">
        <f t="shared" si="33"/>
        <v>0</v>
      </c>
      <c r="R130" s="1">
        <f t="shared" si="34"/>
        <v>0</v>
      </c>
      <c r="S130" s="1">
        <f t="shared" si="35"/>
        <v>1</v>
      </c>
      <c r="T130" s="1">
        <f t="shared" si="36"/>
        <v>0</v>
      </c>
      <c r="U130" s="1">
        <f t="shared" si="37"/>
        <v>0</v>
      </c>
      <c r="V130" s="1">
        <f t="shared" si="38"/>
        <v>0</v>
      </c>
      <c r="W130" s="1">
        <f t="shared" si="39"/>
        <v>0</v>
      </c>
    </row>
    <row r="131" spans="14:23" ht="12.75">
      <c r="N131" s="16">
        <f t="shared" si="30"/>
        <v>0</v>
      </c>
      <c r="O131" s="16">
        <f t="shared" si="32"/>
        <v>0</v>
      </c>
      <c r="P131" s="51">
        <f>IF($N$58=$N$20,6.1,0)</f>
        <v>6.1</v>
      </c>
      <c r="Q131" s="1">
        <f t="shared" si="33"/>
        <v>0</v>
      </c>
      <c r="R131" s="1">
        <f t="shared" si="34"/>
        <v>0</v>
      </c>
      <c r="S131" s="1">
        <f t="shared" si="35"/>
        <v>1</v>
      </c>
      <c r="T131" s="1">
        <f t="shared" si="36"/>
        <v>0</v>
      </c>
      <c r="U131" s="1">
        <f t="shared" si="37"/>
        <v>0</v>
      </c>
      <c r="V131" s="1">
        <f t="shared" si="38"/>
        <v>0</v>
      </c>
      <c r="W131" s="1">
        <f t="shared" si="39"/>
        <v>0</v>
      </c>
    </row>
    <row r="132" spans="14:23" ht="12.75">
      <c r="N132" s="42">
        <f t="shared" si="30"/>
        <v>0</v>
      </c>
      <c r="O132" s="42">
        <f>IF(N44=N6,P132,O77)</f>
        <v>0</v>
      </c>
      <c r="P132" s="52">
        <f>IF($N$59=$N$21,3.25,0)</f>
        <v>0</v>
      </c>
      <c r="Q132" s="34">
        <f>IF(N132=0,0,1)</f>
        <v>0</v>
      </c>
      <c r="R132" s="34">
        <f>IF(O132=0,0,1)</f>
        <v>0</v>
      </c>
      <c r="S132" s="34">
        <f>IF(P132=0,0,1)</f>
        <v>0</v>
      </c>
      <c r="T132" s="34">
        <f>IF(Q132+R132+S132=3,3,0)</f>
        <v>0</v>
      </c>
      <c r="U132" s="34">
        <f>IF($B$2=H6,1,0)</f>
        <v>0</v>
      </c>
      <c r="V132" s="34">
        <f>T132+U132</f>
        <v>0</v>
      </c>
      <c r="W132" s="34">
        <f>IF(V132=4,P132,0)</f>
        <v>0</v>
      </c>
    </row>
    <row r="133" spans="14:23" ht="12.75">
      <c r="N133" s="42">
        <f t="shared" si="30"/>
        <v>0</v>
      </c>
      <c r="O133" s="42">
        <f aca="true" t="shared" si="40" ref="O133:O145">IF(N45=N7,P133,O78)</f>
        <v>0</v>
      </c>
      <c r="P133" s="52">
        <f>IF($N$59=$N$21,3.2,0)</f>
        <v>0</v>
      </c>
      <c r="Q133" s="34">
        <f aca="true" t="shared" si="41" ref="Q133:Q145">IF(N133=0,0,1)</f>
        <v>0</v>
      </c>
      <c r="R133" s="34">
        <f aca="true" t="shared" si="42" ref="R133:R145">IF(O133=0,0,1)</f>
        <v>0</v>
      </c>
      <c r="S133" s="34">
        <f aca="true" t="shared" si="43" ref="S133:S145">IF(P133=0,0,1)</f>
        <v>0</v>
      </c>
      <c r="T133" s="34">
        <f aca="true" t="shared" si="44" ref="T133:T145">IF(Q133+R133+S133=3,3,0)</f>
        <v>0</v>
      </c>
      <c r="U133" s="34">
        <f aca="true" t="shared" si="45" ref="U133:U145">IF($B$2=H7,1,0)</f>
        <v>0</v>
      </c>
      <c r="V133" s="34">
        <f aca="true" t="shared" si="46" ref="V133:V145">T133+U133</f>
        <v>0</v>
      </c>
      <c r="W133" s="34">
        <f aca="true" t="shared" si="47" ref="W133:W145">IF(V133=4,P133,0)</f>
        <v>0</v>
      </c>
    </row>
    <row r="134" spans="14:23" ht="12.75">
      <c r="N134" s="42">
        <f t="shared" si="30"/>
        <v>0</v>
      </c>
      <c r="O134" s="42">
        <f t="shared" si="40"/>
        <v>0</v>
      </c>
      <c r="P134" s="52">
        <f>IF($N$59=$N$21,3.15,0)</f>
        <v>0</v>
      </c>
      <c r="Q134" s="34">
        <f t="shared" si="41"/>
        <v>0</v>
      </c>
      <c r="R134" s="34">
        <f t="shared" si="42"/>
        <v>0</v>
      </c>
      <c r="S134" s="34">
        <f t="shared" si="43"/>
        <v>0</v>
      </c>
      <c r="T134" s="34">
        <f t="shared" si="44"/>
        <v>0</v>
      </c>
      <c r="U134" s="34">
        <f t="shared" si="45"/>
        <v>0</v>
      </c>
      <c r="V134" s="34">
        <f t="shared" si="46"/>
        <v>0</v>
      </c>
      <c r="W134" s="34">
        <f t="shared" si="47"/>
        <v>0</v>
      </c>
    </row>
    <row r="135" spans="14:23" ht="12.75">
      <c r="N135" s="42">
        <f t="shared" si="30"/>
        <v>0</v>
      </c>
      <c r="O135" s="42">
        <f t="shared" si="40"/>
        <v>0</v>
      </c>
      <c r="P135" s="52">
        <f>IF($N$59=$N$21,3.1,0)</f>
        <v>0</v>
      </c>
      <c r="Q135" s="34">
        <f t="shared" si="41"/>
        <v>0</v>
      </c>
      <c r="R135" s="34">
        <f t="shared" si="42"/>
        <v>0</v>
      </c>
      <c r="S135" s="34">
        <f t="shared" si="43"/>
        <v>0</v>
      </c>
      <c r="T135" s="34">
        <f t="shared" si="44"/>
        <v>0</v>
      </c>
      <c r="U135" s="34">
        <f t="shared" si="45"/>
        <v>0</v>
      </c>
      <c r="V135" s="34">
        <f t="shared" si="46"/>
        <v>0</v>
      </c>
      <c r="W135" s="34">
        <f t="shared" si="47"/>
        <v>0</v>
      </c>
    </row>
    <row r="136" spans="14:23" ht="12.75">
      <c r="N136" s="42">
        <f t="shared" si="30"/>
        <v>0</v>
      </c>
      <c r="O136" s="42">
        <f t="shared" si="40"/>
        <v>0</v>
      </c>
      <c r="P136" s="52">
        <f>IF($N$59=$N$21,3.05,0)</f>
        <v>0</v>
      </c>
      <c r="Q136" s="34">
        <f t="shared" si="41"/>
        <v>0</v>
      </c>
      <c r="R136" s="34">
        <f t="shared" si="42"/>
        <v>0</v>
      </c>
      <c r="S136" s="34">
        <f t="shared" si="43"/>
        <v>0</v>
      </c>
      <c r="T136" s="34">
        <f t="shared" si="44"/>
        <v>0</v>
      </c>
      <c r="U136" s="34">
        <f t="shared" si="45"/>
        <v>0</v>
      </c>
      <c r="V136" s="34">
        <f t="shared" si="46"/>
        <v>0</v>
      </c>
      <c r="W136" s="34">
        <f t="shared" si="47"/>
        <v>0</v>
      </c>
    </row>
    <row r="137" spans="14:23" ht="12.75">
      <c r="N137" s="42">
        <f t="shared" si="30"/>
        <v>0</v>
      </c>
      <c r="O137" s="42">
        <f t="shared" si="40"/>
        <v>0</v>
      </c>
      <c r="P137" s="52">
        <f>IF($N$59=$N$21,3,0)</f>
        <v>0</v>
      </c>
      <c r="Q137" s="34">
        <f t="shared" si="41"/>
        <v>0</v>
      </c>
      <c r="R137" s="34">
        <f t="shared" si="42"/>
        <v>0</v>
      </c>
      <c r="S137" s="34">
        <f t="shared" si="43"/>
        <v>0</v>
      </c>
      <c r="T137" s="34">
        <f t="shared" si="44"/>
        <v>0</v>
      </c>
      <c r="U137" s="34">
        <f t="shared" si="45"/>
        <v>0</v>
      </c>
      <c r="V137" s="34">
        <f t="shared" si="46"/>
        <v>0</v>
      </c>
      <c r="W137" s="34">
        <f t="shared" si="47"/>
        <v>0</v>
      </c>
    </row>
    <row r="138" spans="14:23" ht="12.75">
      <c r="N138" s="42">
        <f t="shared" si="30"/>
        <v>0</v>
      </c>
      <c r="O138" s="42">
        <f t="shared" si="40"/>
        <v>0</v>
      </c>
      <c r="P138" s="52">
        <f>IF($N$59=$N$21,3.2,0)</f>
        <v>0</v>
      </c>
      <c r="Q138" s="34">
        <f t="shared" si="41"/>
        <v>0</v>
      </c>
      <c r="R138" s="34">
        <f t="shared" si="42"/>
        <v>0</v>
      </c>
      <c r="S138" s="34">
        <f t="shared" si="43"/>
        <v>0</v>
      </c>
      <c r="T138" s="34">
        <f t="shared" si="44"/>
        <v>0</v>
      </c>
      <c r="U138" s="34">
        <f t="shared" si="45"/>
        <v>0</v>
      </c>
      <c r="V138" s="34">
        <f t="shared" si="46"/>
        <v>0</v>
      </c>
      <c r="W138" s="34">
        <f t="shared" si="47"/>
        <v>0</v>
      </c>
    </row>
    <row r="139" spans="14:23" ht="12.75">
      <c r="N139" s="42">
        <f t="shared" si="30"/>
        <v>0</v>
      </c>
      <c r="O139" s="42">
        <f t="shared" si="40"/>
        <v>0</v>
      </c>
      <c r="P139" s="52">
        <f>IF($N$59=$N$21,3.1,0)</f>
        <v>0</v>
      </c>
      <c r="Q139" s="34">
        <f t="shared" si="41"/>
        <v>0</v>
      </c>
      <c r="R139" s="34">
        <f t="shared" si="42"/>
        <v>0</v>
      </c>
      <c r="S139" s="34">
        <f t="shared" si="43"/>
        <v>0</v>
      </c>
      <c r="T139" s="34">
        <f t="shared" si="44"/>
        <v>0</v>
      </c>
      <c r="U139" s="34">
        <f t="shared" si="45"/>
        <v>0</v>
      </c>
      <c r="V139" s="34">
        <f t="shared" si="46"/>
        <v>0</v>
      </c>
      <c r="W139" s="34">
        <f t="shared" si="47"/>
        <v>0</v>
      </c>
    </row>
    <row r="140" spans="14:23" ht="12.75">
      <c r="N140" s="42">
        <f t="shared" si="30"/>
        <v>0</v>
      </c>
      <c r="O140" s="42">
        <f t="shared" si="40"/>
        <v>0</v>
      </c>
      <c r="P140" s="52">
        <f>IF($N$59=$N$21,3.6,0)</f>
        <v>0</v>
      </c>
      <c r="Q140" s="34">
        <f t="shared" si="41"/>
        <v>0</v>
      </c>
      <c r="R140" s="34">
        <f t="shared" si="42"/>
        <v>0</v>
      </c>
      <c r="S140" s="34">
        <f t="shared" si="43"/>
        <v>0</v>
      </c>
      <c r="T140" s="34">
        <f t="shared" si="44"/>
        <v>0</v>
      </c>
      <c r="U140" s="34">
        <f t="shared" si="45"/>
        <v>0</v>
      </c>
      <c r="V140" s="34">
        <f t="shared" si="46"/>
        <v>0</v>
      </c>
      <c r="W140" s="34">
        <f t="shared" si="47"/>
        <v>0</v>
      </c>
    </row>
    <row r="141" spans="14:23" ht="12.75">
      <c r="N141" s="42">
        <f t="shared" si="30"/>
        <v>0</v>
      </c>
      <c r="O141" s="42">
        <f t="shared" si="40"/>
        <v>0</v>
      </c>
      <c r="P141" s="52">
        <f>IF($N$59=$N$21,3.5,0)</f>
        <v>0</v>
      </c>
      <c r="Q141" s="34">
        <f t="shared" si="41"/>
        <v>0</v>
      </c>
      <c r="R141" s="34">
        <f t="shared" si="42"/>
        <v>0</v>
      </c>
      <c r="S141" s="34">
        <f t="shared" si="43"/>
        <v>0</v>
      </c>
      <c r="T141" s="34">
        <f t="shared" si="44"/>
        <v>0</v>
      </c>
      <c r="U141" s="34">
        <f t="shared" si="45"/>
        <v>0</v>
      </c>
      <c r="V141" s="34">
        <f t="shared" si="46"/>
        <v>0</v>
      </c>
      <c r="W141" s="34">
        <f t="shared" si="47"/>
        <v>0</v>
      </c>
    </row>
    <row r="142" spans="14:23" ht="12.75">
      <c r="N142" s="42">
        <f t="shared" si="30"/>
        <v>0</v>
      </c>
      <c r="O142" s="42">
        <f t="shared" si="40"/>
        <v>0</v>
      </c>
      <c r="P142" s="52">
        <f>IF($N$59=$N$21,3.4,0)</f>
        <v>0</v>
      </c>
      <c r="Q142" s="34">
        <f t="shared" si="41"/>
        <v>0</v>
      </c>
      <c r="R142" s="34">
        <f t="shared" si="42"/>
        <v>0</v>
      </c>
      <c r="S142" s="34">
        <f t="shared" si="43"/>
        <v>0</v>
      </c>
      <c r="T142" s="34">
        <f t="shared" si="44"/>
        <v>0</v>
      </c>
      <c r="U142" s="34">
        <f t="shared" si="45"/>
        <v>1</v>
      </c>
      <c r="V142" s="34">
        <f t="shared" si="46"/>
        <v>1</v>
      </c>
      <c r="W142" s="34">
        <f t="shared" si="47"/>
        <v>0</v>
      </c>
    </row>
    <row r="143" spans="14:23" ht="12.75">
      <c r="N143" s="42">
        <f t="shared" si="30"/>
        <v>0</v>
      </c>
      <c r="O143" s="42">
        <f t="shared" si="40"/>
        <v>0</v>
      </c>
      <c r="P143" s="52">
        <f>IF($N$59=$N$21,3.3,0)</f>
        <v>0</v>
      </c>
      <c r="Q143" s="34">
        <f t="shared" si="41"/>
        <v>0</v>
      </c>
      <c r="R143" s="34">
        <f t="shared" si="42"/>
        <v>0</v>
      </c>
      <c r="S143" s="34">
        <f t="shared" si="43"/>
        <v>0</v>
      </c>
      <c r="T143" s="34">
        <f t="shared" si="44"/>
        <v>0</v>
      </c>
      <c r="U143" s="34">
        <f t="shared" si="45"/>
        <v>0</v>
      </c>
      <c r="V143" s="34">
        <f t="shared" si="46"/>
        <v>0</v>
      </c>
      <c r="W143" s="34">
        <f t="shared" si="47"/>
        <v>0</v>
      </c>
    </row>
    <row r="144" spans="14:23" ht="12.75">
      <c r="N144" s="42">
        <f t="shared" si="30"/>
        <v>0</v>
      </c>
      <c r="O144" s="42">
        <f t="shared" si="40"/>
        <v>0</v>
      </c>
      <c r="P144" s="52">
        <f>IF($N$59=$N$21,3.2,0)</f>
        <v>0</v>
      </c>
      <c r="Q144" s="34">
        <f t="shared" si="41"/>
        <v>0</v>
      </c>
      <c r="R144" s="34">
        <f t="shared" si="42"/>
        <v>0</v>
      </c>
      <c r="S144" s="34">
        <f t="shared" si="43"/>
        <v>0</v>
      </c>
      <c r="T144" s="34">
        <f t="shared" si="44"/>
        <v>0</v>
      </c>
      <c r="U144" s="34">
        <f t="shared" si="45"/>
        <v>0</v>
      </c>
      <c r="V144" s="34">
        <f t="shared" si="46"/>
        <v>0</v>
      </c>
      <c r="W144" s="34">
        <f t="shared" si="47"/>
        <v>0</v>
      </c>
    </row>
    <row r="145" spans="14:23" ht="12.75">
      <c r="N145" s="42">
        <f t="shared" si="30"/>
        <v>0</v>
      </c>
      <c r="O145" s="42">
        <f t="shared" si="40"/>
        <v>0</v>
      </c>
      <c r="P145" s="52">
        <f>IF($N$59=$N$21,4.5,0)</f>
        <v>0</v>
      </c>
      <c r="Q145" s="34">
        <f t="shared" si="41"/>
        <v>0</v>
      </c>
      <c r="R145" s="34">
        <f t="shared" si="42"/>
        <v>0</v>
      </c>
      <c r="S145" s="34">
        <f t="shared" si="43"/>
        <v>0</v>
      </c>
      <c r="T145" s="34">
        <f t="shared" si="44"/>
        <v>0</v>
      </c>
      <c r="U145" s="34">
        <f t="shared" si="45"/>
        <v>0</v>
      </c>
      <c r="V145" s="34">
        <f t="shared" si="46"/>
        <v>0</v>
      </c>
      <c r="W145" s="34">
        <f t="shared" si="47"/>
        <v>0</v>
      </c>
    </row>
    <row r="146" spans="14:24" ht="12.75">
      <c r="N146" s="43">
        <f t="shared" si="30"/>
        <v>0</v>
      </c>
      <c r="O146" s="43">
        <f>IF(N44=N6,P146,O91)</f>
        <v>0</v>
      </c>
      <c r="P146" s="53">
        <f>IF($N$60=$N$22,3.05,0)</f>
        <v>0</v>
      </c>
      <c r="Q146" s="37">
        <f>IF(N146=0,0,1)</f>
        <v>0</v>
      </c>
      <c r="R146" s="37">
        <f>IF(O146=0,0,1)</f>
        <v>0</v>
      </c>
      <c r="S146" s="37">
        <f>IF(P146=0,0,1)</f>
        <v>0</v>
      </c>
      <c r="T146" s="37">
        <f>IF(Q146+R146+S146=3,3,0)</f>
        <v>0</v>
      </c>
      <c r="U146" s="37">
        <f>IF($B$2=H6,1,0)</f>
        <v>0</v>
      </c>
      <c r="V146" s="37">
        <f>T146+U146</f>
        <v>0</v>
      </c>
      <c r="W146" s="37">
        <f>IF(V146=4,P146,0)</f>
        <v>0</v>
      </c>
      <c r="X146" s="37"/>
    </row>
    <row r="147" spans="14:23" ht="12.75">
      <c r="N147" s="43">
        <f t="shared" si="30"/>
        <v>0</v>
      </c>
      <c r="O147" s="43">
        <f aca="true" t="shared" si="48" ref="O147:O159">IF(N45=N7,P147,O92)</f>
        <v>0</v>
      </c>
      <c r="P147" s="53">
        <f>IF($N$60=$N$22,3,0)</f>
        <v>0</v>
      </c>
      <c r="Q147" s="37">
        <f aca="true" t="shared" si="49" ref="Q147:Q159">IF(N147=0,0,1)</f>
        <v>0</v>
      </c>
      <c r="R147" s="37">
        <f aca="true" t="shared" si="50" ref="R147:R159">IF(O147=0,0,1)</f>
        <v>0</v>
      </c>
      <c r="S147" s="37">
        <f aca="true" t="shared" si="51" ref="S147:S159">IF(P147=0,0,1)</f>
        <v>0</v>
      </c>
      <c r="T147" s="37">
        <f aca="true" t="shared" si="52" ref="T147:T159">IF(Q147+R147+S147=3,3,0)</f>
        <v>0</v>
      </c>
      <c r="U147" s="37">
        <f aca="true" t="shared" si="53" ref="U147:U159">IF($B$2=H7,1,0)</f>
        <v>0</v>
      </c>
      <c r="V147" s="37">
        <f aca="true" t="shared" si="54" ref="V147:V159">T147+U147</f>
        <v>0</v>
      </c>
      <c r="W147" s="37">
        <f aca="true" t="shared" si="55" ref="W147:W159">IF(V147=4,P147,0)</f>
        <v>0</v>
      </c>
    </row>
    <row r="148" spans="14:23" ht="12.75">
      <c r="N148" s="43">
        <f t="shared" si="30"/>
        <v>0</v>
      </c>
      <c r="O148" s="43">
        <f t="shared" si="48"/>
        <v>0</v>
      </c>
      <c r="P148" s="53">
        <f>IF($N$60=$N$22,2.95,0)</f>
        <v>0</v>
      </c>
      <c r="Q148" s="37">
        <f t="shared" si="49"/>
        <v>0</v>
      </c>
      <c r="R148" s="37">
        <f t="shared" si="50"/>
        <v>0</v>
      </c>
      <c r="S148" s="37">
        <f t="shared" si="51"/>
        <v>0</v>
      </c>
      <c r="T148" s="37">
        <f t="shared" si="52"/>
        <v>0</v>
      </c>
      <c r="U148" s="37">
        <f t="shared" si="53"/>
        <v>0</v>
      </c>
      <c r="V148" s="37">
        <f t="shared" si="54"/>
        <v>0</v>
      </c>
      <c r="W148" s="37">
        <f t="shared" si="55"/>
        <v>0</v>
      </c>
    </row>
    <row r="149" spans="14:23" ht="12.75">
      <c r="N149" s="43">
        <f t="shared" si="30"/>
        <v>0</v>
      </c>
      <c r="O149" s="43">
        <f t="shared" si="48"/>
        <v>0</v>
      </c>
      <c r="P149" s="53">
        <f>IF($N$60=$N$22,2.9,0)</f>
        <v>0</v>
      </c>
      <c r="Q149" s="37">
        <f t="shared" si="49"/>
        <v>0</v>
      </c>
      <c r="R149" s="37">
        <f t="shared" si="50"/>
        <v>0</v>
      </c>
      <c r="S149" s="37">
        <f t="shared" si="51"/>
        <v>0</v>
      </c>
      <c r="T149" s="37">
        <f t="shared" si="52"/>
        <v>0</v>
      </c>
      <c r="U149" s="37">
        <f t="shared" si="53"/>
        <v>0</v>
      </c>
      <c r="V149" s="37">
        <f t="shared" si="54"/>
        <v>0</v>
      </c>
      <c r="W149" s="37">
        <f t="shared" si="55"/>
        <v>0</v>
      </c>
    </row>
    <row r="150" spans="14:23" ht="12.75">
      <c r="N150" s="43">
        <f aca="true" t="shared" si="56" ref="N150:N173">IF($B$4=$N$25,O150,0)</f>
        <v>0</v>
      </c>
      <c r="O150" s="43">
        <f t="shared" si="48"/>
        <v>0</v>
      </c>
      <c r="P150" s="53">
        <f>IF($N$60=$N$22,2.9,0)</f>
        <v>0</v>
      </c>
      <c r="Q150" s="37">
        <f t="shared" si="49"/>
        <v>0</v>
      </c>
      <c r="R150" s="37">
        <f t="shared" si="50"/>
        <v>0</v>
      </c>
      <c r="S150" s="37">
        <f t="shared" si="51"/>
        <v>0</v>
      </c>
      <c r="T150" s="37">
        <f t="shared" si="52"/>
        <v>0</v>
      </c>
      <c r="U150" s="37">
        <f t="shared" si="53"/>
        <v>0</v>
      </c>
      <c r="V150" s="37">
        <f t="shared" si="54"/>
        <v>0</v>
      </c>
      <c r="W150" s="37">
        <f t="shared" si="55"/>
        <v>0</v>
      </c>
    </row>
    <row r="151" spans="14:23" ht="12.75">
      <c r="N151" s="43">
        <f t="shared" si="56"/>
        <v>0</v>
      </c>
      <c r="O151" s="43">
        <f t="shared" si="48"/>
        <v>0</v>
      </c>
      <c r="P151" s="53">
        <f>IF($N$60=$N$22,2.9,0)</f>
        <v>0</v>
      </c>
      <c r="Q151" s="37">
        <f t="shared" si="49"/>
        <v>0</v>
      </c>
      <c r="R151" s="37">
        <f t="shared" si="50"/>
        <v>0</v>
      </c>
      <c r="S151" s="37">
        <f t="shared" si="51"/>
        <v>0</v>
      </c>
      <c r="T151" s="37">
        <f t="shared" si="52"/>
        <v>0</v>
      </c>
      <c r="U151" s="37">
        <f t="shared" si="53"/>
        <v>0</v>
      </c>
      <c r="V151" s="37">
        <f t="shared" si="54"/>
        <v>0</v>
      </c>
      <c r="W151" s="37">
        <f t="shared" si="55"/>
        <v>0</v>
      </c>
    </row>
    <row r="152" spans="14:23" ht="12.75">
      <c r="N152" s="43">
        <f t="shared" si="56"/>
        <v>0</v>
      </c>
      <c r="O152" s="43">
        <f t="shared" si="48"/>
        <v>0</v>
      </c>
      <c r="P152" s="53">
        <f>IF($N$60=$N$22,3,0)</f>
        <v>0</v>
      </c>
      <c r="Q152" s="37">
        <f t="shared" si="49"/>
        <v>0</v>
      </c>
      <c r="R152" s="37">
        <f t="shared" si="50"/>
        <v>0</v>
      </c>
      <c r="S152" s="37">
        <f t="shared" si="51"/>
        <v>0</v>
      </c>
      <c r="T152" s="37">
        <f t="shared" si="52"/>
        <v>0</v>
      </c>
      <c r="U152" s="37">
        <f t="shared" si="53"/>
        <v>0</v>
      </c>
      <c r="V152" s="37">
        <f t="shared" si="54"/>
        <v>0</v>
      </c>
      <c r="W152" s="37">
        <f t="shared" si="55"/>
        <v>0</v>
      </c>
    </row>
    <row r="153" spans="14:23" ht="12.75">
      <c r="N153" s="43">
        <f t="shared" si="56"/>
        <v>0</v>
      </c>
      <c r="O153" s="43">
        <f t="shared" si="48"/>
        <v>0</v>
      </c>
      <c r="P153" s="53">
        <f>IF($N$60=$N$22,2.9,0)</f>
        <v>0</v>
      </c>
      <c r="Q153" s="37">
        <f t="shared" si="49"/>
        <v>0</v>
      </c>
      <c r="R153" s="37">
        <f t="shared" si="50"/>
        <v>0</v>
      </c>
      <c r="S153" s="37">
        <f t="shared" si="51"/>
        <v>0</v>
      </c>
      <c r="T153" s="37">
        <f t="shared" si="52"/>
        <v>0</v>
      </c>
      <c r="U153" s="37">
        <f t="shared" si="53"/>
        <v>0</v>
      </c>
      <c r="V153" s="37">
        <f t="shared" si="54"/>
        <v>0</v>
      </c>
      <c r="W153" s="37">
        <f t="shared" si="55"/>
        <v>0</v>
      </c>
    </row>
    <row r="154" spans="14:23" ht="12.75">
      <c r="N154" s="43">
        <f t="shared" si="56"/>
        <v>0</v>
      </c>
      <c r="O154" s="43">
        <f t="shared" si="48"/>
        <v>0</v>
      </c>
      <c r="P154" s="53">
        <f>IF($N$60=$N$22,3.5,0)</f>
        <v>0</v>
      </c>
      <c r="Q154" s="37">
        <f t="shared" si="49"/>
        <v>0</v>
      </c>
      <c r="R154" s="37">
        <f t="shared" si="50"/>
        <v>0</v>
      </c>
      <c r="S154" s="37">
        <f t="shared" si="51"/>
        <v>0</v>
      </c>
      <c r="T154" s="37">
        <f t="shared" si="52"/>
        <v>0</v>
      </c>
      <c r="U154" s="37">
        <f t="shared" si="53"/>
        <v>0</v>
      </c>
      <c r="V154" s="37">
        <f t="shared" si="54"/>
        <v>0</v>
      </c>
      <c r="W154" s="37">
        <f t="shared" si="55"/>
        <v>0</v>
      </c>
    </row>
    <row r="155" spans="14:23" ht="12.75">
      <c r="N155" s="43">
        <f t="shared" si="56"/>
        <v>0</v>
      </c>
      <c r="O155" s="43">
        <f t="shared" si="48"/>
        <v>0</v>
      </c>
      <c r="P155" s="53">
        <f>IF($N$60=$N$22,3.4,0)</f>
        <v>0</v>
      </c>
      <c r="Q155" s="37">
        <f t="shared" si="49"/>
        <v>0</v>
      </c>
      <c r="R155" s="37">
        <f t="shared" si="50"/>
        <v>0</v>
      </c>
      <c r="S155" s="37">
        <f t="shared" si="51"/>
        <v>0</v>
      </c>
      <c r="T155" s="37">
        <f t="shared" si="52"/>
        <v>0</v>
      </c>
      <c r="U155" s="37">
        <f t="shared" si="53"/>
        <v>0</v>
      </c>
      <c r="V155" s="37">
        <f t="shared" si="54"/>
        <v>0</v>
      </c>
      <c r="W155" s="37">
        <f t="shared" si="55"/>
        <v>0</v>
      </c>
    </row>
    <row r="156" spans="14:23" ht="12.75">
      <c r="N156" s="43">
        <f t="shared" si="56"/>
        <v>0</v>
      </c>
      <c r="O156" s="43">
        <f t="shared" si="48"/>
        <v>0</v>
      </c>
      <c r="P156" s="53">
        <f>IF($N$60=$N$22,3.3,0)</f>
        <v>0</v>
      </c>
      <c r="Q156" s="37">
        <f t="shared" si="49"/>
        <v>0</v>
      </c>
      <c r="R156" s="37">
        <f t="shared" si="50"/>
        <v>0</v>
      </c>
      <c r="S156" s="37">
        <f t="shared" si="51"/>
        <v>0</v>
      </c>
      <c r="T156" s="37">
        <f t="shared" si="52"/>
        <v>0</v>
      </c>
      <c r="U156" s="37">
        <f t="shared" si="53"/>
        <v>1</v>
      </c>
      <c r="V156" s="37">
        <f t="shared" si="54"/>
        <v>1</v>
      </c>
      <c r="W156" s="37">
        <f t="shared" si="55"/>
        <v>0</v>
      </c>
    </row>
    <row r="157" spans="14:23" ht="12.75">
      <c r="N157" s="43">
        <f t="shared" si="56"/>
        <v>0</v>
      </c>
      <c r="O157" s="43">
        <f t="shared" si="48"/>
        <v>0</v>
      </c>
      <c r="P157" s="53">
        <f>IF($N$60=$N$22,3.1,0)</f>
        <v>0</v>
      </c>
      <c r="Q157" s="37">
        <f t="shared" si="49"/>
        <v>0</v>
      </c>
      <c r="R157" s="37">
        <f t="shared" si="50"/>
        <v>0</v>
      </c>
      <c r="S157" s="37">
        <f t="shared" si="51"/>
        <v>0</v>
      </c>
      <c r="T157" s="37">
        <f t="shared" si="52"/>
        <v>0</v>
      </c>
      <c r="U157" s="37">
        <f t="shared" si="53"/>
        <v>0</v>
      </c>
      <c r="V157" s="37">
        <f t="shared" si="54"/>
        <v>0</v>
      </c>
      <c r="W157" s="37">
        <f t="shared" si="55"/>
        <v>0</v>
      </c>
    </row>
    <row r="158" spans="14:23" ht="12.75">
      <c r="N158" s="43">
        <f t="shared" si="56"/>
        <v>0</v>
      </c>
      <c r="O158" s="43">
        <f t="shared" si="48"/>
        <v>0</v>
      </c>
      <c r="P158" s="53">
        <f>IF($N$60=$N$22,3,0)</f>
        <v>0</v>
      </c>
      <c r="Q158" s="37">
        <f t="shared" si="49"/>
        <v>0</v>
      </c>
      <c r="R158" s="37">
        <f t="shared" si="50"/>
        <v>0</v>
      </c>
      <c r="S158" s="37">
        <f t="shared" si="51"/>
        <v>0</v>
      </c>
      <c r="T158" s="37">
        <f t="shared" si="52"/>
        <v>0</v>
      </c>
      <c r="U158" s="37">
        <f t="shared" si="53"/>
        <v>0</v>
      </c>
      <c r="V158" s="37">
        <f t="shared" si="54"/>
        <v>0</v>
      </c>
      <c r="W158" s="37">
        <f t="shared" si="55"/>
        <v>0</v>
      </c>
    </row>
    <row r="159" spans="14:23" ht="12.75">
      <c r="N159" s="43">
        <f t="shared" si="56"/>
        <v>0</v>
      </c>
      <c r="O159" s="43">
        <f t="shared" si="48"/>
        <v>0</v>
      </c>
      <c r="P159" s="53">
        <f>IF($N$60=$N$22,4.3,0)</f>
        <v>0</v>
      </c>
      <c r="Q159" s="37">
        <f t="shared" si="49"/>
        <v>0</v>
      </c>
      <c r="R159" s="37">
        <f t="shared" si="50"/>
        <v>0</v>
      </c>
      <c r="S159" s="37">
        <f t="shared" si="51"/>
        <v>0</v>
      </c>
      <c r="T159" s="37">
        <f t="shared" si="52"/>
        <v>0</v>
      </c>
      <c r="U159" s="37">
        <f t="shared" si="53"/>
        <v>0</v>
      </c>
      <c r="V159" s="37">
        <f t="shared" si="54"/>
        <v>0</v>
      </c>
      <c r="W159" s="37">
        <f t="shared" si="55"/>
        <v>0</v>
      </c>
    </row>
    <row r="160" spans="14:23" ht="12.75">
      <c r="N160" s="44">
        <f t="shared" si="56"/>
        <v>0</v>
      </c>
      <c r="O160" s="44">
        <f>IF(N44=N6,P160,O105)</f>
        <v>0</v>
      </c>
      <c r="P160" s="54">
        <f>IF($N$61=$N$23,2.95,0)</f>
        <v>0</v>
      </c>
      <c r="Q160" s="40">
        <f>IF(N160=0,0,1)</f>
        <v>0</v>
      </c>
      <c r="R160" s="40">
        <f>IF(O160=0,0,1)</f>
        <v>0</v>
      </c>
      <c r="S160" s="40">
        <f>IF(P160=0,0,1)</f>
        <v>0</v>
      </c>
      <c r="T160" s="40">
        <f>IF(Q160+R160+S160=3,3,0)</f>
        <v>0</v>
      </c>
      <c r="U160" s="40">
        <f>IF($B$2=H6,1,0)</f>
        <v>0</v>
      </c>
      <c r="V160" s="40">
        <f>T160+U160</f>
        <v>0</v>
      </c>
      <c r="W160" s="40">
        <f>IF(V160=4,P160,0)</f>
        <v>0</v>
      </c>
    </row>
    <row r="161" spans="14:23" ht="12.75">
      <c r="N161" s="44">
        <f t="shared" si="56"/>
        <v>0</v>
      </c>
      <c r="O161" s="44">
        <f aca="true" t="shared" si="57" ref="O161:O173">IF(N45=N7,P161,O106)</f>
        <v>0</v>
      </c>
      <c r="P161" s="54">
        <f>IF($N$61=$N$23,2.9,0)</f>
        <v>0</v>
      </c>
      <c r="Q161" s="40">
        <f aca="true" t="shared" si="58" ref="Q161:Q173">IF(N161=0,0,1)</f>
        <v>0</v>
      </c>
      <c r="R161" s="40">
        <f aca="true" t="shared" si="59" ref="R161:R173">IF(O161=0,0,1)</f>
        <v>0</v>
      </c>
      <c r="S161" s="40">
        <f aca="true" t="shared" si="60" ref="S161:S173">IF(P161=0,0,1)</f>
        <v>0</v>
      </c>
      <c r="T161" s="40">
        <f aca="true" t="shared" si="61" ref="T161:T173">IF(Q161+R161+S161=3,3,0)</f>
        <v>0</v>
      </c>
      <c r="U161" s="40">
        <f aca="true" t="shared" si="62" ref="U161:U173">IF($B$2=H7,1,0)</f>
        <v>0</v>
      </c>
      <c r="V161" s="40">
        <f aca="true" t="shared" si="63" ref="V161:V173">T161+U161</f>
        <v>0</v>
      </c>
      <c r="W161" s="40">
        <f aca="true" t="shared" si="64" ref="W161:W173">IF(V161=4,P161,0)</f>
        <v>0</v>
      </c>
    </row>
    <row r="162" spans="14:23" ht="12.75">
      <c r="N162" s="44">
        <f t="shared" si="56"/>
        <v>0</v>
      </c>
      <c r="O162" s="44">
        <f t="shared" si="57"/>
        <v>0</v>
      </c>
      <c r="P162" s="54">
        <f>IF($N$61=$N$23,2.85,0)</f>
        <v>0</v>
      </c>
      <c r="Q162" s="40">
        <f t="shared" si="58"/>
        <v>0</v>
      </c>
      <c r="R162" s="40">
        <f t="shared" si="59"/>
        <v>0</v>
      </c>
      <c r="S162" s="40">
        <f t="shared" si="60"/>
        <v>0</v>
      </c>
      <c r="T162" s="40">
        <f t="shared" si="61"/>
        <v>0</v>
      </c>
      <c r="U162" s="40">
        <f t="shared" si="62"/>
        <v>0</v>
      </c>
      <c r="V162" s="40">
        <f t="shared" si="63"/>
        <v>0</v>
      </c>
      <c r="W162" s="40">
        <f t="shared" si="64"/>
        <v>0</v>
      </c>
    </row>
    <row r="163" spans="14:23" ht="12.75">
      <c r="N163" s="44">
        <f t="shared" si="56"/>
        <v>0</v>
      </c>
      <c r="O163" s="44">
        <f t="shared" si="57"/>
        <v>0</v>
      </c>
      <c r="P163" s="54">
        <f>IF($N$61=$N$23,2.8,0)</f>
        <v>0</v>
      </c>
      <c r="Q163" s="40">
        <f t="shared" si="58"/>
        <v>0</v>
      </c>
      <c r="R163" s="40">
        <f t="shared" si="59"/>
        <v>0</v>
      </c>
      <c r="S163" s="40">
        <f t="shared" si="60"/>
        <v>0</v>
      </c>
      <c r="T163" s="40">
        <f t="shared" si="61"/>
        <v>0</v>
      </c>
      <c r="U163" s="40">
        <f t="shared" si="62"/>
        <v>0</v>
      </c>
      <c r="V163" s="40">
        <f t="shared" si="63"/>
        <v>0</v>
      </c>
      <c r="W163" s="40">
        <f t="shared" si="64"/>
        <v>0</v>
      </c>
    </row>
    <row r="164" spans="14:23" ht="12.75">
      <c r="N164" s="44">
        <f t="shared" si="56"/>
        <v>0</v>
      </c>
      <c r="O164" s="44">
        <f t="shared" si="57"/>
        <v>0</v>
      </c>
      <c r="P164" s="54">
        <f>IF($N$61=$N$23,2.75,0)</f>
        <v>0</v>
      </c>
      <c r="Q164" s="40">
        <f t="shared" si="58"/>
        <v>0</v>
      </c>
      <c r="R164" s="40">
        <f t="shared" si="59"/>
        <v>0</v>
      </c>
      <c r="S164" s="40">
        <f t="shared" si="60"/>
        <v>0</v>
      </c>
      <c r="T164" s="40">
        <f t="shared" si="61"/>
        <v>0</v>
      </c>
      <c r="U164" s="40">
        <f t="shared" si="62"/>
        <v>0</v>
      </c>
      <c r="V164" s="40">
        <f t="shared" si="63"/>
        <v>0</v>
      </c>
      <c r="W164" s="40">
        <f t="shared" si="64"/>
        <v>0</v>
      </c>
    </row>
    <row r="165" spans="14:23" ht="12.75">
      <c r="N165" s="44">
        <f t="shared" si="56"/>
        <v>0</v>
      </c>
      <c r="O165" s="44">
        <f t="shared" si="57"/>
        <v>0</v>
      </c>
      <c r="P165" s="54">
        <f>IF($N$61=$N$23,2.7,0)</f>
        <v>0</v>
      </c>
      <c r="Q165" s="40">
        <f t="shared" si="58"/>
        <v>0</v>
      </c>
      <c r="R165" s="40">
        <f t="shared" si="59"/>
        <v>0</v>
      </c>
      <c r="S165" s="40">
        <f t="shared" si="60"/>
        <v>0</v>
      </c>
      <c r="T165" s="40">
        <f t="shared" si="61"/>
        <v>0</v>
      </c>
      <c r="U165" s="40">
        <f t="shared" si="62"/>
        <v>0</v>
      </c>
      <c r="V165" s="40">
        <f t="shared" si="63"/>
        <v>0</v>
      </c>
      <c r="W165" s="40">
        <f t="shared" si="64"/>
        <v>0</v>
      </c>
    </row>
    <row r="166" spans="14:23" ht="12.75">
      <c r="N166" s="44">
        <f t="shared" si="56"/>
        <v>0</v>
      </c>
      <c r="O166" s="44">
        <f t="shared" si="57"/>
        <v>0</v>
      </c>
      <c r="P166" s="54">
        <f>IF($N$61=$N$23,2.9,0)</f>
        <v>0</v>
      </c>
      <c r="Q166" s="40">
        <f t="shared" si="58"/>
        <v>0</v>
      </c>
      <c r="R166" s="40">
        <f t="shared" si="59"/>
        <v>0</v>
      </c>
      <c r="S166" s="40">
        <f t="shared" si="60"/>
        <v>0</v>
      </c>
      <c r="T166" s="40">
        <f t="shared" si="61"/>
        <v>0</v>
      </c>
      <c r="U166" s="40">
        <f t="shared" si="62"/>
        <v>0</v>
      </c>
      <c r="V166" s="40">
        <f t="shared" si="63"/>
        <v>0</v>
      </c>
      <c r="W166" s="40">
        <f t="shared" si="64"/>
        <v>0</v>
      </c>
    </row>
    <row r="167" spans="14:23" ht="12.75">
      <c r="N167" s="44">
        <f t="shared" si="56"/>
        <v>0</v>
      </c>
      <c r="O167" s="44">
        <f t="shared" si="57"/>
        <v>0</v>
      </c>
      <c r="P167" s="54">
        <f>IF($N$61=$N$23,2.8,0)</f>
        <v>0</v>
      </c>
      <c r="Q167" s="40">
        <f t="shared" si="58"/>
        <v>0</v>
      </c>
      <c r="R167" s="40">
        <f t="shared" si="59"/>
        <v>0</v>
      </c>
      <c r="S167" s="40">
        <f t="shared" si="60"/>
        <v>0</v>
      </c>
      <c r="T167" s="40">
        <f t="shared" si="61"/>
        <v>0</v>
      </c>
      <c r="U167" s="40">
        <f t="shared" si="62"/>
        <v>0</v>
      </c>
      <c r="V167" s="40">
        <f t="shared" si="63"/>
        <v>0</v>
      </c>
      <c r="W167" s="40">
        <f t="shared" si="64"/>
        <v>0</v>
      </c>
    </row>
    <row r="168" spans="14:23" ht="12.75">
      <c r="N168" s="44">
        <f t="shared" si="56"/>
        <v>0</v>
      </c>
      <c r="O168" s="44">
        <f t="shared" si="57"/>
        <v>0</v>
      </c>
      <c r="P168" s="54">
        <f>IF($N$61=$N$23,3.4,0)</f>
        <v>0</v>
      </c>
      <c r="Q168" s="40">
        <f t="shared" si="58"/>
        <v>0</v>
      </c>
      <c r="R168" s="40">
        <f t="shared" si="59"/>
        <v>0</v>
      </c>
      <c r="S168" s="40">
        <f t="shared" si="60"/>
        <v>0</v>
      </c>
      <c r="T168" s="40">
        <f t="shared" si="61"/>
        <v>0</v>
      </c>
      <c r="U168" s="40">
        <f t="shared" si="62"/>
        <v>0</v>
      </c>
      <c r="V168" s="40">
        <f t="shared" si="63"/>
        <v>0</v>
      </c>
      <c r="W168" s="40">
        <f t="shared" si="64"/>
        <v>0</v>
      </c>
    </row>
    <row r="169" spans="14:23" ht="12.75">
      <c r="N169" s="44">
        <f t="shared" si="56"/>
        <v>0</v>
      </c>
      <c r="O169" s="44">
        <f t="shared" si="57"/>
        <v>0</v>
      </c>
      <c r="P169" s="54">
        <f>IF($N$61=$N$23,3.2,0)</f>
        <v>0</v>
      </c>
      <c r="Q169" s="40">
        <f t="shared" si="58"/>
        <v>0</v>
      </c>
      <c r="R169" s="40">
        <f t="shared" si="59"/>
        <v>0</v>
      </c>
      <c r="S169" s="40">
        <f t="shared" si="60"/>
        <v>0</v>
      </c>
      <c r="T169" s="40">
        <f t="shared" si="61"/>
        <v>0</v>
      </c>
      <c r="U169" s="40">
        <f t="shared" si="62"/>
        <v>0</v>
      </c>
      <c r="V169" s="40">
        <f t="shared" si="63"/>
        <v>0</v>
      </c>
      <c r="W169" s="40">
        <f t="shared" si="64"/>
        <v>0</v>
      </c>
    </row>
    <row r="170" spans="14:23" ht="12.75">
      <c r="N170" s="44">
        <f t="shared" si="56"/>
        <v>0</v>
      </c>
      <c r="O170" s="44">
        <f t="shared" si="57"/>
        <v>0</v>
      </c>
      <c r="P170" s="54">
        <f>IF($N$61=$N$23,3.1,0)</f>
        <v>0</v>
      </c>
      <c r="Q170" s="40">
        <f t="shared" si="58"/>
        <v>0</v>
      </c>
      <c r="R170" s="40">
        <f t="shared" si="59"/>
        <v>0</v>
      </c>
      <c r="S170" s="40">
        <f t="shared" si="60"/>
        <v>0</v>
      </c>
      <c r="T170" s="40">
        <f t="shared" si="61"/>
        <v>0</v>
      </c>
      <c r="U170" s="40">
        <f t="shared" si="62"/>
        <v>1</v>
      </c>
      <c r="V170" s="40">
        <f t="shared" si="63"/>
        <v>1</v>
      </c>
      <c r="W170" s="40">
        <f t="shared" si="64"/>
        <v>0</v>
      </c>
    </row>
    <row r="171" spans="14:23" ht="12.75">
      <c r="N171" s="44">
        <f t="shared" si="56"/>
        <v>0</v>
      </c>
      <c r="O171" s="44">
        <f t="shared" si="57"/>
        <v>0</v>
      </c>
      <c r="P171" s="54">
        <f>IF($N$61=$N$23,3,0)</f>
        <v>0</v>
      </c>
      <c r="Q171" s="40">
        <f t="shared" si="58"/>
        <v>0</v>
      </c>
      <c r="R171" s="40">
        <f t="shared" si="59"/>
        <v>0</v>
      </c>
      <c r="S171" s="40">
        <f t="shared" si="60"/>
        <v>0</v>
      </c>
      <c r="T171" s="40">
        <f t="shared" si="61"/>
        <v>0</v>
      </c>
      <c r="U171" s="40">
        <f t="shared" si="62"/>
        <v>0</v>
      </c>
      <c r="V171" s="40">
        <f t="shared" si="63"/>
        <v>0</v>
      </c>
      <c r="W171" s="40">
        <f t="shared" si="64"/>
        <v>0</v>
      </c>
    </row>
    <row r="172" spans="14:23" ht="12.75">
      <c r="N172" s="44">
        <f t="shared" si="56"/>
        <v>0</v>
      </c>
      <c r="O172" s="44">
        <f t="shared" si="57"/>
        <v>0</v>
      </c>
      <c r="P172" s="54">
        <f>IF($N$61=$N$23,2.9,0)</f>
        <v>0</v>
      </c>
      <c r="Q172" s="40">
        <f t="shared" si="58"/>
        <v>0</v>
      </c>
      <c r="R172" s="40">
        <f t="shared" si="59"/>
        <v>0</v>
      </c>
      <c r="S172" s="40">
        <f t="shared" si="60"/>
        <v>0</v>
      </c>
      <c r="T172" s="40">
        <f t="shared" si="61"/>
        <v>0</v>
      </c>
      <c r="U172" s="40">
        <f t="shared" si="62"/>
        <v>0</v>
      </c>
      <c r="V172" s="40">
        <f t="shared" si="63"/>
        <v>0</v>
      </c>
      <c r="W172" s="40">
        <f t="shared" si="64"/>
        <v>0</v>
      </c>
    </row>
    <row r="173" spans="14:23" ht="12.75">
      <c r="N173" s="44">
        <f t="shared" si="56"/>
        <v>0</v>
      </c>
      <c r="O173" s="44">
        <f t="shared" si="57"/>
        <v>0</v>
      </c>
      <c r="P173" s="54">
        <f>IF($N$61=$N$23,4.2,0)</f>
        <v>0</v>
      </c>
      <c r="Q173" s="40">
        <f t="shared" si="58"/>
        <v>0</v>
      </c>
      <c r="R173" s="40">
        <f t="shared" si="59"/>
        <v>0</v>
      </c>
      <c r="S173" s="40">
        <f t="shared" si="60"/>
        <v>0</v>
      </c>
      <c r="T173" s="40">
        <f t="shared" si="61"/>
        <v>0</v>
      </c>
      <c r="U173" s="40">
        <f t="shared" si="62"/>
        <v>0</v>
      </c>
      <c r="V173" s="40">
        <f t="shared" si="63"/>
        <v>0</v>
      </c>
      <c r="W173" s="40">
        <f t="shared" si="64"/>
        <v>0</v>
      </c>
    </row>
    <row r="174" spans="9:23" ht="12.75">
      <c r="I174" s="55" t="s">
        <v>43</v>
      </c>
      <c r="W174" s="49">
        <f>SUM(W62:W173)</f>
        <v>4.9</v>
      </c>
    </row>
    <row r="176" spans="15:17" ht="12.75">
      <c r="O176" s="16"/>
      <c r="P176" s="16"/>
      <c r="Q176" s="21"/>
    </row>
    <row r="177" spans="15:17" ht="12.75">
      <c r="O177" s="16"/>
      <c r="P177" s="16"/>
      <c r="Q177" s="21"/>
    </row>
    <row r="178" spans="15:17" ht="12.75">
      <c r="O178" s="16"/>
      <c r="P178" s="16"/>
      <c r="Q178" s="21"/>
    </row>
    <row r="179" ht="12.75">
      <c r="S179" s="4"/>
    </row>
    <row r="180" spans="8:26" ht="15">
      <c r="H180" s="46"/>
      <c r="I180" s="46"/>
      <c r="J180" s="46"/>
      <c r="K180" s="46"/>
      <c r="L180" s="46"/>
      <c r="M180" s="46"/>
      <c r="N180" s="46"/>
      <c r="O180" s="46"/>
      <c r="P180" s="46"/>
      <c r="Q180" s="46"/>
      <c r="R180" s="46"/>
      <c r="S180" s="46"/>
      <c r="T180" s="46"/>
      <c r="U180" s="46"/>
      <c r="V180" s="46"/>
      <c r="W180" s="46"/>
      <c r="X180" s="46"/>
      <c r="Y180" s="46"/>
      <c r="Z180" s="46"/>
    </row>
    <row r="181" spans="8:26" ht="12.75" customHeight="1">
      <c r="H181" s="31"/>
      <c r="I181" s="31"/>
      <c r="J181" s="31"/>
      <c r="K181" s="18"/>
      <c r="L181" s="18"/>
      <c r="M181" s="31"/>
      <c r="N181" s="31"/>
      <c r="O181" s="31"/>
      <c r="P181" s="31"/>
      <c r="Q181" s="31"/>
      <c r="R181" s="31"/>
      <c r="S181" s="31"/>
      <c r="T181" s="31"/>
      <c r="U181" s="31"/>
      <c r="V181" s="31"/>
      <c r="W181" s="31"/>
      <c r="X181" s="31"/>
      <c r="Y181" s="31"/>
      <c r="Z181" s="31"/>
    </row>
    <row r="182" spans="8:26" ht="12.75">
      <c r="H182" s="31"/>
      <c r="I182" s="31"/>
      <c r="J182" s="31"/>
      <c r="K182" s="18"/>
      <c r="L182" s="18"/>
      <c r="M182" s="31"/>
      <c r="N182" s="31"/>
      <c r="O182" s="31"/>
      <c r="P182" s="31"/>
      <c r="Q182" s="31"/>
      <c r="R182" s="31"/>
      <c r="S182" s="31"/>
      <c r="T182" s="31"/>
      <c r="U182" s="31"/>
      <c r="V182" s="31"/>
      <c r="W182" s="31"/>
      <c r="X182" s="31"/>
      <c r="Y182" s="31"/>
      <c r="Z182" s="31"/>
    </row>
    <row r="183" spans="8:26" ht="12.75">
      <c r="H183" s="17"/>
      <c r="I183" s="17"/>
      <c r="J183" s="17"/>
      <c r="K183" s="47"/>
      <c r="L183" s="47"/>
      <c r="M183" s="31"/>
      <c r="N183" s="31"/>
      <c r="O183" s="31"/>
      <c r="P183" s="31"/>
      <c r="Q183" s="31"/>
      <c r="R183" s="31"/>
      <c r="S183" s="31"/>
      <c r="T183" s="45"/>
      <c r="U183" s="45"/>
      <c r="V183" s="31"/>
      <c r="W183" s="31"/>
      <c r="X183" s="31"/>
      <c r="Y183" s="31"/>
      <c r="Z183" s="45"/>
    </row>
    <row r="184" spans="8:26" ht="12.75">
      <c r="H184" s="17"/>
      <c r="I184" s="17"/>
      <c r="J184" s="17"/>
      <c r="K184" s="48"/>
      <c r="L184" s="48"/>
      <c r="M184" s="31"/>
      <c r="N184" s="45"/>
      <c r="O184" s="45"/>
      <c r="P184" s="45"/>
      <c r="Q184" s="31"/>
      <c r="R184" s="31"/>
      <c r="S184" s="31"/>
      <c r="T184" s="31"/>
      <c r="U184" s="31"/>
      <c r="V184" s="31"/>
      <c r="W184" s="31"/>
      <c r="X184" s="31"/>
      <c r="Y184" s="31"/>
      <c r="Z184" s="31"/>
    </row>
    <row r="185" spans="8:26" ht="12.75">
      <c r="H185" s="17"/>
      <c r="I185" s="17"/>
      <c r="J185" s="17"/>
      <c r="K185" s="48"/>
      <c r="L185" s="48"/>
      <c r="M185" s="31"/>
      <c r="N185" s="31"/>
      <c r="O185" s="31"/>
      <c r="P185" s="31"/>
      <c r="Q185" s="31"/>
      <c r="R185" s="45"/>
      <c r="S185" s="45"/>
      <c r="T185" s="45"/>
      <c r="U185" s="31"/>
      <c r="V185" s="31"/>
      <c r="W185" s="31"/>
      <c r="X185" s="31"/>
      <c r="Y185" s="31"/>
      <c r="Z185" s="31"/>
    </row>
    <row r="186" spans="8:26" ht="12.75">
      <c r="H186" s="17"/>
      <c r="I186" s="17"/>
      <c r="J186" s="17"/>
      <c r="K186" s="48"/>
      <c r="L186" s="48"/>
      <c r="M186" s="31"/>
      <c r="N186" s="31"/>
      <c r="O186" s="31"/>
      <c r="P186" s="31"/>
      <c r="Q186" s="31"/>
      <c r="R186" s="31"/>
      <c r="S186" s="31"/>
      <c r="T186" s="31"/>
      <c r="U186" s="45"/>
      <c r="V186" s="45"/>
      <c r="W186" s="31"/>
      <c r="X186" s="31"/>
      <c r="Y186" s="31"/>
      <c r="Z186" s="31"/>
    </row>
    <row r="187" spans="8:26" ht="12.75">
      <c r="H187" s="17"/>
      <c r="I187" s="17"/>
      <c r="J187" s="17"/>
      <c r="K187" s="47"/>
      <c r="L187" s="47"/>
      <c r="M187" s="31"/>
      <c r="N187" s="31"/>
      <c r="O187" s="31"/>
      <c r="P187" s="31"/>
      <c r="Q187" s="31"/>
      <c r="R187" s="31"/>
      <c r="S187" s="31"/>
      <c r="T187" s="31"/>
      <c r="U187" s="31"/>
      <c r="V187" s="31"/>
      <c r="W187" s="31"/>
      <c r="X187" s="45"/>
      <c r="Y187" s="31"/>
      <c r="Z187" s="31"/>
    </row>
    <row r="188" spans="8:26" ht="12.75">
      <c r="H188" s="17"/>
      <c r="I188" s="17"/>
      <c r="J188" s="17"/>
      <c r="K188" s="48"/>
      <c r="L188" s="48"/>
      <c r="M188" s="31"/>
      <c r="N188" s="31"/>
      <c r="O188" s="31"/>
      <c r="P188" s="31"/>
      <c r="Q188" s="31"/>
      <c r="R188" s="31"/>
      <c r="S188" s="45"/>
      <c r="T188" s="31"/>
      <c r="U188" s="31"/>
      <c r="V188" s="31"/>
      <c r="W188" s="31"/>
      <c r="X188" s="31"/>
      <c r="Y188" s="31"/>
      <c r="Z188" s="31"/>
    </row>
    <row r="189" spans="8:26" ht="12.75">
      <c r="H189" s="17"/>
      <c r="I189" s="17"/>
      <c r="J189" s="17"/>
      <c r="K189" s="48"/>
      <c r="L189" s="48"/>
      <c r="M189" s="31"/>
      <c r="N189" s="31"/>
      <c r="O189" s="31"/>
      <c r="P189" s="31"/>
      <c r="Q189" s="31"/>
      <c r="R189" s="31"/>
      <c r="S189" s="45"/>
      <c r="T189" s="45"/>
      <c r="U189" s="45"/>
      <c r="V189" s="45"/>
      <c r="W189" s="31"/>
      <c r="X189" s="31"/>
      <c r="Y189" s="31"/>
      <c r="Z189" s="31"/>
    </row>
    <row r="190" spans="8:26" ht="12.75">
      <c r="H190" s="17"/>
      <c r="I190" s="17"/>
      <c r="J190" s="17"/>
      <c r="K190" s="48"/>
      <c r="L190" s="48"/>
      <c r="M190" s="31"/>
      <c r="N190" s="31"/>
      <c r="O190" s="31"/>
      <c r="P190" s="31"/>
      <c r="Q190" s="31"/>
      <c r="R190" s="31"/>
      <c r="S190" s="31"/>
      <c r="T190" s="31"/>
      <c r="U190" s="31"/>
      <c r="V190" s="45"/>
      <c r="W190" s="45"/>
      <c r="X190" s="31"/>
      <c r="Y190" s="31"/>
      <c r="Z190" s="31"/>
    </row>
    <row r="191" ht="12.75">
      <c r="S191" s="4"/>
    </row>
  </sheetData>
  <mergeCells count="4">
    <mergeCell ref="A1:F1"/>
    <mergeCell ref="B2:F2"/>
    <mergeCell ref="B3:F3"/>
    <mergeCell ref="B4:F4"/>
  </mergeCells>
  <dataValidations count="4">
    <dataValidation type="list" allowBlank="1" showErrorMessage="1" sqref="H6:H19">
      <formula1>$H$6:$H$19</formula1>
    </dataValidation>
    <dataValidation type="list" allowBlank="1" showErrorMessage="1" promptTitle="ATTENZIONE !" prompt="&#10;" sqref="B2">
      <formula1>$H$6:$H$19</formula1>
    </dataValidation>
    <dataValidation type="list" allowBlank="1" showErrorMessage="1" promptTitle="ATTENZIONE !" prompt="&#10;" sqref="B3">
      <formula1>$H$20:$H$23</formula1>
    </dataValidation>
    <dataValidation type="list" allowBlank="1" showErrorMessage="1" promptTitle="ATTENZIONE !" prompt="&#10;" sqref="B4:F4">
      <formula1>$N$24:$N$25</formula1>
    </dataValidation>
  </dataValidations>
  <printOptions horizontalCentered="1"/>
  <pageMargins left="0.1968503937007874" right="0.1968503937007874" top="0.984251968503937" bottom="0.984251968503937" header="0.5118110236220472" footer="0.5118110236220472"/>
  <pageSetup horizontalDpi="300" verticalDpi="300" orientation="landscape" paperSize="9" scale="80" r:id="rId4"/>
  <headerFooter alignWithMargins="0">
    <oddHeader>&amp;C&amp;"Arial,Grassetto"&amp;12CALCOLO DEL VALORE DI TRASMITTANZA TERMICA MEDIA Uwm DELLA FINESTRA ESISTENTE</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2008-05-17T13:37:42Z</cp:lastPrinted>
  <dcterms:created xsi:type="dcterms:W3CDTF">2008-05-15T13:16:01Z</dcterms:created>
  <dcterms:modified xsi:type="dcterms:W3CDTF">2009-11-15T17:47:07Z</dcterms:modified>
  <cp:category/>
  <cp:version/>
  <cp:contentType/>
  <cp:contentStatus/>
</cp:coreProperties>
</file>